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png" ContentType="image/png"/>
  <Default Extension="rels" ContentType="application/vnd.openxmlformats-package.relationships+xml"/>
  <Override PartName="/customXml/itemProps1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olors1.xml" ContentType="application/vnd.ms-office.chartcolorstyle+xml"/>
  <Override PartName="/xl/charts/style1.xml" ContentType="application/vnd.ms-office.chartstyle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workbookProtection lockStructure="1"/>
  <bookViews>
    <workbookView windowWidth="23040" windowHeight="10440" activeTab="3"/>
  </bookViews>
  <sheets>
    <sheet name="FORM" sheetId="1" r:id="rId1"/>
    <sheet name="LEGEND" sheetId="2" state="hidden" r:id="rId2"/>
    <sheet name="PFR (LINKED)" sheetId="3" r:id="rId3"/>
    <sheet name="DISPOSAL OF INVESTED" sheetId="4" r:id="rId4"/>
    <sheet name="DATA" sheetId="5" state="hidden" r:id="rId5"/>
  </sheets>
  <externalReferences>
    <externalReference r:id="rId7"/>
  </externalReferences>
  <definedNames>
    <definedName name="_xlnm._FilterDatabase" localSheetId="2" hidden="1">'PFR (LINKED)'!$A$14:$B$74</definedName>
    <definedName name="_xlnm._FilterDatabase" localSheetId="0" hidden="1">FORM!$A$17:$M$21</definedName>
    <definedName name="_xlnm.Print_Area" localSheetId="3">'DISPOSAL OF INVESTED'!$A$1:$BU$73</definedName>
    <definedName name="_xlnm.Print_Area" localSheetId="0">FORM!$A$2:$T$27</definedName>
    <definedName name="_xlnm.Print_Area" localSheetId="2">'PFR (LINKED)'!$A$1:$Z$75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>
  <authors>
    <author>user</author>
    <author>YeeHui</author>
    <author>User</author>
  </authors>
  <commentList>
    <comment ref="G14" authorId="0">
      <text>
        <r>
          <rPr>
            <b/>
            <sz val="8"/>
            <rFont val="Tahoma"/>
            <charset val="134"/>
          </rPr>
          <t>user:</t>
        </r>
        <r>
          <rPr>
            <sz val="8"/>
            <rFont val="Tahoma"/>
            <charset val="134"/>
          </rPr>
          <t xml:space="preserve">
current invested stock ,bond,  unit trust and others</t>
        </r>
      </text>
    </comment>
    <comment ref="BV23" authorId="1">
      <text>
        <r>
          <rPr>
            <b/>
            <sz val="9"/>
            <rFont val="Tahoma"/>
            <charset val="134"/>
          </rPr>
          <t>YeeHui:</t>
        </r>
        <r>
          <rPr>
            <sz val="9"/>
            <rFont val="Tahoma"/>
            <charset val="134"/>
          </rPr>
          <t xml:space="preserve">
Add new formula</t>
        </r>
      </text>
    </comment>
    <comment ref="BV29" authorId="1">
      <text>
        <r>
          <rPr>
            <b/>
            <sz val="9"/>
            <rFont val="Tahoma"/>
            <charset val="134"/>
          </rPr>
          <t>YeeHui:</t>
        </r>
        <r>
          <rPr>
            <sz val="9"/>
            <rFont val="Tahoma"/>
            <charset val="134"/>
          </rPr>
          <t xml:space="preserve">
Value must divide by 12 months</t>
        </r>
      </text>
    </comment>
    <comment ref="E36" authorId="2">
      <text>
        <r>
          <rPr>
            <b/>
            <sz val="8"/>
            <rFont val="Tahoma"/>
            <charset val="134"/>
          </rPr>
          <t>User:</t>
        </r>
        <r>
          <rPr>
            <sz val="8"/>
            <rFont val="Tahoma"/>
            <charset val="134"/>
          </rPr>
          <t xml:space="preserve">
请输入经济独立前的房地产供款及子女教育基金.</t>
        </r>
      </text>
    </comment>
  </commentList>
</comments>
</file>

<file path=xl/sharedStrings.xml><?xml version="1.0" encoding="utf-8"?>
<sst xmlns="http://schemas.openxmlformats.org/spreadsheetml/2006/main" count="258" uniqueCount="207">
  <si>
    <t>PROJECT DATE</t>
  </si>
  <si>
    <t>:</t>
  </si>
  <si>
    <t>*</t>
  </si>
  <si>
    <t>PERSONAL DETAILS</t>
  </si>
  <si>
    <t>Name of Investor</t>
  </si>
  <si>
    <t>tat</t>
  </si>
  <si>
    <t>TITLE :</t>
  </si>
  <si>
    <t>MR</t>
  </si>
  <si>
    <t>Investment Objective</t>
  </si>
  <si>
    <t>Passive Retirement Income (20%)</t>
  </si>
  <si>
    <t>Contact Number</t>
  </si>
  <si>
    <t>Birthday (dd/mm/yyyy)</t>
  </si>
  <si>
    <t>08</t>
  </si>
  <si>
    <t>Age To Date</t>
  </si>
  <si>
    <t>Estimated Monthly Investment Value</t>
  </si>
  <si>
    <t>Monthly Nett Income</t>
  </si>
  <si>
    <t>Age to Retirement  /  Investment Period</t>
  </si>
  <si>
    <t>Age</t>
  </si>
  <si>
    <t>Period of Investment to Objective : ( Years )</t>
  </si>
  <si>
    <t>RATE (P/A)</t>
  </si>
  <si>
    <t>Estimated Requirement for Objective (Monthly)  »</t>
  </si>
  <si>
    <t>OR</t>
  </si>
  <si>
    <t>[TGT]</t>
  </si>
  <si>
    <t>Inflation %</t>
  </si>
  <si>
    <t>Please select desire method of Investment ^</t>
  </si>
  <si>
    <t>Future Value</t>
  </si>
  <si>
    <t xml:space="preserve">ACTION PLAN : </t>
  </si>
  <si>
    <t>Lump sum Investment / 1st Investment</t>
  </si>
  <si>
    <t>Indicator</t>
  </si>
  <si>
    <t>Monthly / Add On Investment amount</t>
  </si>
  <si>
    <t>Period</t>
  </si>
  <si>
    <t>MRS</t>
  </si>
  <si>
    <t>Children Education (10%)</t>
  </si>
  <si>
    <t>Estimated Requirement for Objective(  Overall  )  »</t>
  </si>
  <si>
    <t>MS</t>
  </si>
  <si>
    <t>Saving for Deposit (10%)</t>
  </si>
  <si>
    <t>FV Lump Sum</t>
  </si>
  <si>
    <t>TOTAL</t>
  </si>
  <si>
    <t>Travelling Budget (15%)</t>
  </si>
  <si>
    <t>Capital Growth (Short Term) (10%)</t>
  </si>
  <si>
    <t>Preseve/Growth Capital (20%)</t>
  </si>
  <si>
    <t>Others</t>
  </si>
  <si>
    <t>A</t>
  </si>
  <si>
    <t>Planning For Your Future, Investor's Target Profile</t>
  </si>
  <si>
    <t xml:space="preserve">FUTURE VALUE UNDER INFLATION  : </t>
  </si>
  <si>
    <t>NEW FINANCIAL PLANNING (2024)</t>
  </si>
  <si>
    <t xml:space="preserve">PROJECT DATE : </t>
  </si>
  <si>
    <t xml:space="preserve">Investor Name : </t>
  </si>
  <si>
    <t xml:space="preserve">ESTIMATED DIVIDEND : </t>
  </si>
  <si>
    <t>PERSONAL SAVING (40%)</t>
  </si>
  <si>
    <t>ESTIMATE RM</t>
  </si>
  <si>
    <t>CURRENT</t>
  </si>
  <si>
    <t xml:space="preserve">Investor Age : </t>
  </si>
  <si>
    <t>MONTHLY SAVING</t>
  </si>
  <si>
    <t xml:space="preserve">How Much Monthly Net Income : </t>
  </si>
  <si>
    <t>CHILDREN EDUCATION SAVING</t>
  </si>
  <si>
    <t>How much is Your Monthly Expenses : (Principal 2116)</t>
  </si>
  <si>
    <t>PERSONAL INSURANCE</t>
  </si>
  <si>
    <t xml:space="preserve">Investment Objective : </t>
  </si>
  <si>
    <t xml:space="preserve">Period of Investment to Objective : ( Years ) </t>
  </si>
  <si>
    <t>MONTHLY EXPENSES (60%)</t>
  </si>
  <si>
    <t xml:space="preserve">ACHIEVE/ABOVE TARGET(FV) </t>
  </si>
  <si>
    <t>Total Amount</t>
  </si>
  <si>
    <t>Annually</t>
  </si>
  <si>
    <t>Monthly</t>
  </si>
  <si>
    <t>Total Amount (FV)</t>
  </si>
  <si>
    <t>FORECAST RETURN BY PERIOD</t>
  </si>
  <si>
    <r>
      <rPr>
        <sz val="8"/>
        <color rgb="FF000000"/>
        <rFont val="Calibri"/>
        <charset val="134"/>
      </rPr>
      <t xml:space="preserve">HIRED PURCHASE </t>
    </r>
    <r>
      <rPr>
        <sz val="8"/>
        <color rgb="FF0070C0"/>
        <rFont val="Calibri"/>
        <charset val="134"/>
      </rPr>
      <t>(FIXED)</t>
    </r>
  </si>
  <si>
    <t xml:space="preserve">ACHIEVEMENT UPTO PERIOD </t>
  </si>
  <si>
    <t xml:space="preserve">Fund Details : </t>
  </si>
  <si>
    <t>HOUSING LOAN/RENTAL</t>
  </si>
  <si>
    <t>ACTION PLAN &gt;&gt;</t>
  </si>
  <si>
    <t xml:space="preserve">Lump sum Investment / 1st Investment : </t>
  </si>
  <si>
    <t>ELECTRICAL (AVG FEE)</t>
  </si>
  <si>
    <t xml:space="preserve">Monthly / Add On Investment amount : </t>
  </si>
  <si>
    <t>MANAGEMENT FEE</t>
  </si>
  <si>
    <t>YEAR</t>
  </si>
  <si>
    <t>AGE</t>
  </si>
  <si>
    <t>QTY PAYMENT</t>
  </si>
  <si>
    <t>ESTIMATE RETURN BY %</t>
  </si>
  <si>
    <t>COST</t>
  </si>
  <si>
    <t>OTHER EXPENSES</t>
  </si>
  <si>
    <t>CAR MAINTAINANCE</t>
  </si>
  <si>
    <t>MOM'S PETTY CASH</t>
  </si>
  <si>
    <t>TELEPHONE</t>
  </si>
  <si>
    <t>FINANCIAL  INDEPENDENCE  PLANNING (Scenario 3)</t>
  </si>
  <si>
    <t>Disposal of Invested Property Upon Financial Independence</t>
  </si>
  <si>
    <t>Current Age :</t>
  </si>
  <si>
    <t>12</t>
  </si>
  <si>
    <t>Scenario 3</t>
  </si>
  <si>
    <t>INDEX</t>
  </si>
  <si>
    <t>Desired Age of Financial Independence :</t>
  </si>
  <si>
    <t>Terms and Codition</t>
  </si>
  <si>
    <t>Current age</t>
  </si>
  <si>
    <t>Executive Summary</t>
  </si>
  <si>
    <t>Yearly EPF Contribution (employer + employee) :</t>
  </si>
  <si>
    <t>Yielding (%) :</t>
  </si>
  <si>
    <t>Goals and Objective</t>
  </si>
  <si>
    <t>Current EPF Available :</t>
  </si>
  <si>
    <t>Estimated retirement age</t>
  </si>
  <si>
    <t>Chapter 1: Current Situation</t>
  </si>
  <si>
    <t>Estimated Salary Increment Rate (%) :</t>
  </si>
  <si>
    <t>Real Estate (Own)</t>
  </si>
  <si>
    <t>Estimated Inflation Rate (%) :</t>
  </si>
  <si>
    <t>Yearly EPF contribution, yielding</t>
  </si>
  <si>
    <t>Real Estate (Investment)</t>
  </si>
  <si>
    <t>Desired Annual Income For Retirement :</t>
  </si>
  <si>
    <t>Business Table</t>
  </si>
  <si>
    <t>Total EPF Balance, yielding</t>
  </si>
  <si>
    <t>Investment Record</t>
  </si>
  <si>
    <t>Current Investment :</t>
  </si>
  <si>
    <t>Assets</t>
  </si>
  <si>
    <t>Current Annual Investment (Bank,U/T, Equity):</t>
  </si>
  <si>
    <t>Liabilities</t>
  </si>
  <si>
    <t>Lump Sum Investment from Excess of liquidity fund :</t>
  </si>
  <si>
    <t>Insurance Policy (Own)</t>
  </si>
  <si>
    <t>Current Invested Properties :</t>
  </si>
  <si>
    <t>- Outstanding Properties Loan</t>
  </si>
  <si>
    <t>Estimated salary increment rate</t>
  </si>
  <si>
    <t>Insurance Policy (Spouse)</t>
  </si>
  <si>
    <t>Business Value :</t>
  </si>
  <si>
    <t>Insurance Policy (Children)</t>
  </si>
  <si>
    <t>Additional Investment (monthly) :</t>
  </si>
  <si>
    <t>Insurance Policy Summary</t>
  </si>
  <si>
    <t>Additional Investment (Yearly) :</t>
  </si>
  <si>
    <t>Cash In-Flow</t>
  </si>
  <si>
    <t>Estimated Rate of Return on Retirement Income (%) :</t>
  </si>
  <si>
    <t>Current annual expenses (i.e. cost of living)</t>
  </si>
  <si>
    <t>Cash Out-Flow</t>
  </si>
  <si>
    <t>Net Worth Analysis</t>
  </si>
  <si>
    <t>Expected Total Saving Upon Retirement (non EPF) :</t>
  </si>
  <si>
    <t>Estimated inflation rate</t>
  </si>
  <si>
    <t>(1+i)</t>
  </si>
  <si>
    <t>Chapter 2: Analysis</t>
  </si>
  <si>
    <t>Expected Value of EPF Upon Retirement :</t>
  </si>
  <si>
    <t>current investment value (stock,bond,Uts etc)yielding</t>
  </si>
  <si>
    <t>Asset Analysis</t>
  </si>
  <si>
    <t>Current annual savings (yearly) eg:UT ,yielding</t>
  </si>
  <si>
    <t>Asset Chart</t>
  </si>
  <si>
    <t>Current saving available (lump sum), yielding</t>
  </si>
  <si>
    <t>Asset Allocation</t>
  </si>
  <si>
    <t>Current saving available (Business Interest), yielding</t>
  </si>
  <si>
    <t>Property Investment Return</t>
  </si>
  <si>
    <t>Current saving available (Property), yielding</t>
  </si>
  <si>
    <t>Liability Chart</t>
  </si>
  <si>
    <t>Current saving available (monthly), yielding</t>
  </si>
  <si>
    <t>Cash In-Flow Statement</t>
  </si>
  <si>
    <t>CAPITAL CONSUMPTION TABLE AFTER FINANCIAL INDEPENDENCE</t>
  </si>
  <si>
    <t>Cash Out-Flow Statement</t>
  </si>
  <si>
    <t>Own Insurance</t>
  </si>
  <si>
    <t>spouse insurance</t>
  </si>
  <si>
    <t>Capital (FV) :</t>
  </si>
  <si>
    <t>Current saving available (yearly), yielding</t>
  </si>
  <si>
    <t>Financial Ratios (Liquidity &amp; Solvency Ratio)</t>
  </si>
  <si>
    <t>* Beginning Balance</t>
  </si>
  <si>
    <t xml:space="preserve">Extra Ordinary Cash Flow </t>
  </si>
  <si>
    <t>Future Value of Annual Expenses</t>
  </si>
  <si>
    <t>Post Retirement Return</t>
  </si>
  <si>
    <t>Year End Balance</t>
  </si>
  <si>
    <t>EPF (FV) :</t>
  </si>
  <si>
    <t>Financial Ratios (Debt Ratio)</t>
  </si>
  <si>
    <t>Financial Ratios Summary</t>
  </si>
  <si>
    <t>+ve : Cash In-flow</t>
  </si>
  <si>
    <t>Chapter 3: Recommendation</t>
  </si>
  <si>
    <t>-ve : Cash Out-flow</t>
  </si>
  <si>
    <t>Total</t>
  </si>
  <si>
    <t>Return Rate :</t>
  </si>
  <si>
    <t>Estimated rate of return on retirement income</t>
  </si>
  <si>
    <t>Liquidity Fund</t>
  </si>
  <si>
    <t>Inflation Rate :</t>
  </si>
  <si>
    <t>Accident Coverage</t>
  </si>
  <si>
    <t>Monthly Drawn (PV) :</t>
  </si>
  <si>
    <t>Income Protection for DPD</t>
  </si>
  <si>
    <t>Yearly Drawn (PV) :</t>
  </si>
  <si>
    <t>Step 2 :</t>
  </si>
  <si>
    <t>Your Financial Situation at retirement</t>
  </si>
  <si>
    <t>Dread Disease Coverage</t>
  </si>
  <si>
    <t>Return Rate (current investment):</t>
  </si>
  <si>
    <t>Children Education Planning</t>
  </si>
  <si>
    <t>(A) Future value of EPF at age 55</t>
  </si>
  <si>
    <t>Children Education Choices</t>
  </si>
  <si>
    <t>Financial Independence1</t>
  </si>
  <si>
    <t>(B1) Future value of current saving available</t>
  </si>
  <si>
    <t>Financial Independence2</t>
  </si>
  <si>
    <t xml:space="preserve"> at retirement (Before age 55)</t>
  </si>
  <si>
    <t>Financial Independence3</t>
  </si>
  <si>
    <t>Action Plan (Goals &amp; Objectives)</t>
  </si>
  <si>
    <t>(B2) Future value of current saving available</t>
  </si>
  <si>
    <t>Action Plan (Cash Flows Management)</t>
  </si>
  <si>
    <t xml:space="preserve"> at retirement (At age 55)</t>
  </si>
  <si>
    <t>(B3) Future value of current saving available</t>
  </si>
  <si>
    <t xml:space="preserve"> at retirement (After age 55)</t>
  </si>
  <si>
    <t>* Total Saving at Retirement (A/B1/B2/B3)</t>
  </si>
  <si>
    <t>* (Remark: EPF will only be taken into consideration as part of the retirement fund upon age 55 and above)</t>
  </si>
  <si>
    <t>(C) Capital needed to generate annual expenses</t>
  </si>
  <si>
    <t xml:space="preserve">      at retirement</t>
  </si>
  <si>
    <t>Shortage of retirement fund (C)-(B)</t>
  </si>
  <si>
    <t>Pg 3-10c</t>
  </si>
  <si>
    <t>INVESTOR</t>
  </si>
  <si>
    <t>TITLE</t>
  </si>
  <si>
    <t>DATE OF BIRTH</t>
  </si>
  <si>
    <t>CONTACT</t>
  </si>
  <si>
    <t>MONTHLY INCOME</t>
  </si>
  <si>
    <t>OBJECTIVE</t>
  </si>
  <si>
    <t>Estimated Monthly Required Income for Retirement</t>
  </si>
  <si>
    <t>LUMP SUM</t>
  </si>
  <si>
    <t>PAYMENT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</si>
</sst>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15">
    <numFmt numFmtId="176" formatCode="_-* #,##0.00_-;\-* #,##0.00_-;_-* &quot;-&quot;??_-;_-@_-"/>
    <numFmt numFmtId="177" formatCode="_-&quot;RM&quot;* #,##0.00_-;\-&quot;RM&quot;* #,##0.00_-;_-&quot;RM&quot;* &quot;-&quot;??_-;_-@_-"/>
    <numFmt numFmtId="178" formatCode="_(* #,##0_);_(* \(#,##0\);_(* &quot;-&quot;_);_(@_)"/>
    <numFmt numFmtId="179" formatCode="_-&quot;RM&quot;* #,##0_-;\-&quot;RM&quot;* #,##0_-;_-&quot;RM&quot;* &quot;-&quot;??_-;_-@_-"/>
    <numFmt numFmtId="180" formatCode="_(* #,##0.00_);_(* \(#,##0.00\);_(* &quot;-&quot;??_);_(@_)"/>
    <numFmt numFmtId="181" formatCode="_-&quot;RM&quot;* #,##0_-;\-&quot;RM&quot;* #,##0_-;_-&quot;RM&quot;* &quot;-&quot;_-;_-@_-"/>
    <numFmt numFmtId="182" formatCode="0.0%"/>
    <numFmt numFmtId="183" formatCode="#,##0_ ;\-#,##0\ "/>
    <numFmt numFmtId="184" formatCode="0_ "/>
    <numFmt numFmtId="185" formatCode="0.00_ "/>
    <numFmt numFmtId="186" formatCode="dd/mm/yyyy"/>
    <numFmt numFmtId="187" formatCode="_-* #,##0_-;\-* #,##0_-;_-* &quot;-&quot;??_-;_-@_-"/>
    <numFmt numFmtId="188" formatCode="&quot;RM&quot;\ \ \ \ \ #,##0"/>
    <numFmt numFmtId="189" formatCode="&quot;RM&quot;#,##0.00"/>
    <numFmt numFmtId="190" formatCode="0_ ;[Red]\-0\ "/>
  </numFmts>
  <fonts count="68">
    <font>
      <sz val="10"/>
      <name val="Calibri"/>
      <charset val="134"/>
    </font>
    <font>
      <b/>
      <sz val="10"/>
      <color rgb="FF000000"/>
      <name val="Calibri"/>
      <charset val="134"/>
    </font>
    <font>
      <sz val="10"/>
      <color rgb="FF000000"/>
      <name val="Calibri"/>
      <charset val="134"/>
    </font>
    <font>
      <sz val="11"/>
      <name val="Calibri"/>
      <charset val="134"/>
    </font>
    <font>
      <b/>
      <i/>
      <sz val="11"/>
      <name val="Calibri"/>
      <charset val="134"/>
    </font>
    <font>
      <b/>
      <sz val="11"/>
      <name val="Calibri"/>
      <charset val="134"/>
    </font>
    <font>
      <b/>
      <sz val="11"/>
      <color indexed="10"/>
      <name val="Calibri"/>
      <charset val="134"/>
    </font>
    <font>
      <b/>
      <sz val="11"/>
      <color rgb="FF0070C0"/>
      <name val="Calibri"/>
      <charset val="134"/>
    </font>
    <font>
      <b/>
      <u/>
      <sz val="11"/>
      <name val="Calibri"/>
      <charset val="134"/>
    </font>
    <font>
      <b/>
      <sz val="11"/>
      <color rgb="FFC00000"/>
      <name val="Calibri"/>
      <charset val="134"/>
    </font>
    <font>
      <b/>
      <sz val="11"/>
      <color rgb="FF595959"/>
      <name val="Calibri"/>
      <charset val="134"/>
    </font>
    <font>
      <b/>
      <sz val="14"/>
      <name val="Calibri"/>
      <charset val="134"/>
    </font>
    <font>
      <b/>
      <sz val="14"/>
      <color rgb="FF595959"/>
      <name val="Calibri"/>
      <charset val="134"/>
    </font>
    <font>
      <sz val="11"/>
      <color rgb="FFC00000"/>
      <name val="Calibri"/>
      <charset val="134"/>
    </font>
    <font>
      <sz val="11"/>
      <color rgb="FF595959"/>
      <name val="Calibri"/>
      <charset val="134"/>
    </font>
    <font>
      <sz val="11"/>
      <color rgb="FFFFFFFF"/>
      <name val="Calibri"/>
      <charset val="134"/>
    </font>
    <font>
      <b/>
      <sz val="11"/>
      <color rgb="FFFF0000"/>
      <name val="Calibri"/>
      <charset val="134"/>
    </font>
    <font>
      <u/>
      <sz val="11"/>
      <name val="Calibri"/>
      <charset val="134"/>
    </font>
    <font>
      <b/>
      <u/>
      <sz val="11"/>
      <color indexed="12"/>
      <name val="Calibri"/>
      <charset val="134"/>
    </font>
    <font>
      <u/>
      <sz val="11"/>
      <color indexed="12"/>
      <name val="Calibri"/>
      <charset val="134"/>
    </font>
    <font>
      <u/>
      <sz val="11"/>
      <color rgb="FF800080"/>
      <name val="Calibri"/>
      <charset val="134"/>
    </font>
    <font>
      <sz val="8"/>
      <color rgb="FF000000"/>
      <name val="Calibri"/>
      <charset val="134"/>
    </font>
    <font>
      <b/>
      <sz val="8"/>
      <color rgb="FFFF0000"/>
      <name val="Calibri"/>
      <charset val="134"/>
    </font>
    <font>
      <b/>
      <sz val="8"/>
      <color rgb="FF000000"/>
      <name val="Calibri"/>
      <charset val="134"/>
    </font>
    <font>
      <b/>
      <sz val="8"/>
      <name val="Calibri"/>
      <charset val="134"/>
    </font>
    <font>
      <b/>
      <sz val="8"/>
      <color rgb="FF00B050"/>
      <name val="Calibri"/>
      <charset val="134"/>
    </font>
    <font>
      <sz val="8"/>
      <name val="Calibri"/>
      <charset val="134"/>
    </font>
    <font>
      <sz val="8"/>
      <color rgb="FF0A0101"/>
      <name val="Calibri"/>
      <charset val="134"/>
    </font>
    <font>
      <b/>
      <sz val="8"/>
      <color rgb="FF0070C0"/>
      <name val="Calibri"/>
      <charset val="134"/>
    </font>
    <font>
      <sz val="9"/>
      <color rgb="FF000000"/>
      <name val="Calibri"/>
      <charset val="134"/>
    </font>
    <font>
      <sz val="9"/>
      <color rgb="FF000000"/>
      <name val="Wingdings 3"/>
      <charset val="2"/>
    </font>
    <font>
      <b/>
      <sz val="9"/>
      <color rgb="FF000000"/>
      <name val="Calibri"/>
      <charset val="134"/>
    </font>
    <font>
      <sz val="9"/>
      <color rgb="FFFF0000"/>
      <name val="Calibri"/>
      <charset val="134"/>
    </font>
    <font>
      <b/>
      <sz val="9"/>
      <color rgb="FFFF0000"/>
      <name val="Calibri"/>
      <charset val="134"/>
    </font>
    <font>
      <b/>
      <sz val="10"/>
      <color rgb="FFFFFFFF"/>
      <name val="Calibri"/>
      <charset val="134"/>
    </font>
    <font>
      <b/>
      <sz val="10"/>
      <color rgb="FF0070C0"/>
      <name val="Calibri"/>
      <charset val="134"/>
    </font>
    <font>
      <b/>
      <sz val="9"/>
      <color rgb="FF0070C0"/>
      <name val="Calibri"/>
      <charset val="134"/>
    </font>
    <font>
      <sz val="8"/>
      <color rgb="FF595959"/>
      <name val="Calibri"/>
      <charset val="134"/>
    </font>
    <font>
      <b/>
      <sz val="8"/>
      <color rgb="FFFFFFFF"/>
      <name val="Calibri"/>
      <charset val="134"/>
    </font>
    <font>
      <sz val="9"/>
      <color rgb="FFFFFFFF"/>
      <name val="Calibri"/>
      <charset val="134"/>
    </font>
    <font>
      <sz val="8"/>
      <color rgb="FFFFFFFF"/>
      <name val="Calibri"/>
      <charset val="134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rgb="FF000000"/>
      <name val="Calibri"/>
      <charset val="134"/>
    </font>
    <font>
      <u/>
      <sz val="11"/>
      <color rgb="FF0000FF"/>
      <name val="Calibri"/>
      <charset val="134"/>
    </font>
    <font>
      <sz val="8"/>
      <color rgb="FF0070C0"/>
      <name val="Calibri"/>
      <charset val="134"/>
    </font>
    <font>
      <b/>
      <sz val="8"/>
      <name val="Tahoma"/>
      <charset val="134"/>
    </font>
    <font>
      <sz val="8"/>
      <name val="Tahoma"/>
      <charset val="134"/>
    </font>
    <font>
      <b/>
      <sz val="9"/>
      <name val="Tahoma"/>
      <charset val="134"/>
    </font>
    <font>
      <sz val="9"/>
      <name val="Tahoma"/>
      <charset val="134"/>
    </font>
  </fonts>
  <fills count="53">
    <fill>
      <patternFill patternType="none"/>
    </fill>
    <fill>
      <patternFill patternType="gray125"/>
    </fill>
    <fill>
      <patternFill patternType="solid">
        <fgColor rgb="FFCCECFF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E2EFD9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D9E3F3"/>
        <bgColor indexed="64"/>
      </patternFill>
    </fill>
    <fill>
      <patternFill patternType="solid">
        <fgColor rgb="FF8FABDB"/>
        <bgColor indexed="64"/>
      </patternFill>
    </fill>
    <fill>
      <patternFill patternType="solid">
        <fgColor rgb="FF2F5597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BE4D5"/>
        <bgColor indexed="64"/>
      </patternFill>
    </fill>
    <fill>
      <patternFill patternType="solid">
        <fgColor rgb="FFF7CAAC"/>
        <bgColor indexed="64"/>
      </patternFill>
    </fill>
    <fill>
      <patternFill patternType="solid">
        <fgColor rgb="FFFFF2CB"/>
        <bgColor indexed="64"/>
      </patternFill>
    </fill>
    <fill>
      <patternFill patternType="solid">
        <fgColor rgb="FF9DC3E5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C5E0B3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43536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FCDCD"/>
        <bgColor indexed="64"/>
      </patternFill>
    </fill>
    <fill>
      <patternFill patternType="solid">
        <fgColor rgb="FFADAAAA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5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double">
        <color auto="1"/>
      </right>
      <top style="thin">
        <color auto="1"/>
      </top>
      <bottom/>
      <diagonal/>
    </border>
    <border>
      <left style="double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double">
        <color auto="1"/>
      </right>
      <top/>
      <bottom/>
      <diagonal/>
    </border>
    <border>
      <left style="double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double">
        <color auto="1"/>
      </right>
      <top/>
      <bottom style="thin">
        <color auto="1"/>
      </bottom>
      <diagonal/>
    </border>
    <border>
      <left style="double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double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double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 style="double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double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D8D8D8"/>
      </left>
      <right style="thin">
        <color rgb="FFD8D8D8"/>
      </right>
      <top style="thin">
        <color rgb="FFD8D8D8"/>
      </top>
      <bottom style="thin">
        <color rgb="FFD8D8D8"/>
      </bottom>
      <diagonal/>
    </border>
    <border>
      <left style="thin">
        <color rgb="FFD8D8D8"/>
      </left>
      <right/>
      <top/>
      <bottom style="thin">
        <color rgb="FFD8D8D8"/>
      </bottom>
      <diagonal/>
    </border>
    <border>
      <left/>
      <right style="thin">
        <color rgb="FFD8D8D8"/>
      </right>
      <top/>
      <bottom style="thin">
        <color rgb="FFD8D8D8"/>
      </bottom>
      <diagonal/>
    </border>
    <border>
      <left style="thin">
        <color rgb="FFD8D8D8"/>
      </left>
      <right/>
      <top style="thin">
        <color rgb="FFD8D8D8"/>
      </top>
      <bottom style="thin">
        <color rgb="FFD8D8D8"/>
      </bottom>
      <diagonal/>
    </border>
    <border>
      <left/>
      <right style="thin">
        <color rgb="FFD8D8D8"/>
      </right>
      <top style="thin">
        <color rgb="FFD8D8D8"/>
      </top>
      <bottom style="thin">
        <color rgb="FFD8D8D8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 style="thin">
        <color rgb="FF4473C4"/>
      </right>
      <top/>
      <bottom/>
      <diagonal/>
    </border>
    <border>
      <left style="thin">
        <color rgb="FF4473C4"/>
      </left>
      <right style="thin">
        <color rgb="FF4473C4"/>
      </right>
      <top style="thin">
        <color rgb="FF4473C4"/>
      </top>
      <bottom style="thin">
        <color rgb="FF4473C4"/>
      </bottom>
      <diagonal/>
    </border>
    <border>
      <left/>
      <right/>
      <top/>
      <bottom style="thin">
        <color rgb="FF4473C4"/>
      </bottom>
      <diagonal/>
    </border>
    <border>
      <left style="thin">
        <color rgb="FF4473C4"/>
      </left>
      <right/>
      <top style="thin">
        <color rgb="FF4473C4"/>
      </top>
      <bottom style="thin">
        <color rgb="FF4473C4"/>
      </bottom>
      <diagonal/>
    </border>
    <border>
      <left/>
      <right/>
      <top style="thin">
        <color rgb="FF4473C4"/>
      </top>
      <bottom style="thin">
        <color rgb="FF4473C4"/>
      </bottom>
      <diagonal/>
    </border>
    <border>
      <left/>
      <right style="thin">
        <color rgb="FF4473C4"/>
      </right>
      <top style="thin">
        <color rgb="FF4473C4"/>
      </top>
      <bottom style="thin">
        <color rgb="FF4473C4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rgb="FF4473C4"/>
      </top>
      <bottom/>
      <diagonal/>
    </border>
    <border>
      <left style="thin">
        <color rgb="FF8FABDB"/>
      </left>
      <right style="thin">
        <color rgb="FF8FABDB"/>
      </right>
      <top style="thin">
        <color rgb="FF8FABDB"/>
      </top>
      <bottom style="thin">
        <color rgb="FF8FABDB"/>
      </bottom>
      <diagonal/>
    </border>
    <border>
      <left style="thin">
        <color rgb="FF8FABDB"/>
      </left>
      <right/>
      <top style="thin">
        <color rgb="FF4473C4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3">
    <xf numFmtId="0" fontId="0" fillId="0" borderId="0">
      <alignment vertical="center"/>
    </xf>
    <xf numFmtId="176" fontId="2" fillId="0" borderId="0">
      <alignment vertical="top"/>
      <protection locked="0"/>
    </xf>
    <xf numFmtId="177" fontId="41" fillId="0" borderId="0" applyFont="0" applyFill="0" applyBorder="0" applyAlignment="0" applyProtection="0">
      <alignment vertical="center"/>
    </xf>
    <xf numFmtId="9" fontId="2" fillId="0" borderId="0">
      <alignment vertical="top"/>
      <protection locked="0"/>
    </xf>
    <xf numFmtId="178" fontId="41" fillId="0" borderId="0" applyFont="0" applyFill="0" applyBorder="0" applyAlignment="0" applyProtection="0">
      <alignment vertical="center"/>
    </xf>
    <xf numFmtId="179" fontId="41" fillId="0" borderId="0" applyFont="0" applyFill="0" applyBorder="0" applyAlignment="0" applyProtection="0">
      <alignment vertical="center"/>
    </xf>
    <xf numFmtId="0" fontId="42" fillId="0" borderId="0" applyNumberFormat="0" applyFill="0" applyBorder="0" applyAlignment="0" applyProtection="0">
      <alignment vertical="center"/>
    </xf>
    <xf numFmtId="0" fontId="43" fillId="0" borderId="0" applyNumberFormat="0" applyFill="0" applyBorder="0" applyAlignment="0" applyProtection="0">
      <alignment vertical="center"/>
    </xf>
    <xf numFmtId="0" fontId="41" fillId="24" borderId="50" applyNumberFormat="0" applyFont="0" applyAlignment="0" applyProtection="0">
      <alignment vertical="center"/>
    </xf>
    <xf numFmtId="0" fontId="44" fillId="0" borderId="0" applyNumberFormat="0" applyFill="0" applyBorder="0" applyAlignment="0" applyProtection="0">
      <alignment vertical="center"/>
    </xf>
    <xf numFmtId="0" fontId="45" fillId="0" borderId="0" applyNumberFormat="0" applyFill="0" applyBorder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7" fillId="0" borderId="51" applyNumberFormat="0" applyFill="0" applyAlignment="0" applyProtection="0">
      <alignment vertical="center"/>
    </xf>
    <xf numFmtId="0" fontId="48" fillId="0" borderId="51" applyNumberFormat="0" applyFill="0" applyAlignment="0" applyProtection="0">
      <alignment vertical="center"/>
    </xf>
    <xf numFmtId="0" fontId="49" fillId="0" borderId="52" applyNumberFormat="0" applyFill="0" applyAlignment="0" applyProtection="0">
      <alignment vertical="center"/>
    </xf>
    <xf numFmtId="0" fontId="49" fillId="0" borderId="0" applyNumberFormat="0" applyFill="0" applyBorder="0" applyAlignment="0" applyProtection="0">
      <alignment vertical="center"/>
    </xf>
    <xf numFmtId="0" fontId="50" fillId="25" borderId="53" applyNumberFormat="0" applyAlignment="0" applyProtection="0">
      <alignment vertical="center"/>
    </xf>
    <xf numFmtId="0" fontId="51" fillId="21" borderId="54" applyNumberFormat="0" applyAlignment="0" applyProtection="0">
      <alignment vertical="center"/>
    </xf>
    <xf numFmtId="0" fontId="52" fillId="21" borderId="53" applyNumberFormat="0" applyAlignment="0" applyProtection="0">
      <alignment vertical="center"/>
    </xf>
    <xf numFmtId="0" fontId="53" fillId="19" borderId="55" applyNumberFormat="0" applyAlignment="0" applyProtection="0">
      <alignment vertical="center"/>
    </xf>
    <xf numFmtId="0" fontId="54" fillId="0" borderId="56" applyNumberFormat="0" applyFill="0" applyAlignment="0" applyProtection="0">
      <alignment vertical="center"/>
    </xf>
    <xf numFmtId="0" fontId="55" fillId="0" borderId="57" applyNumberFormat="0" applyFill="0" applyAlignment="0" applyProtection="0">
      <alignment vertical="center"/>
    </xf>
    <xf numFmtId="0" fontId="56" fillId="26" borderId="0" applyNumberFormat="0" applyBorder="0" applyAlignment="0" applyProtection="0">
      <alignment vertical="center"/>
    </xf>
    <xf numFmtId="0" fontId="57" fillId="27" borderId="0" applyNumberFormat="0" applyBorder="0" applyAlignment="0" applyProtection="0">
      <alignment vertical="center"/>
    </xf>
    <xf numFmtId="0" fontId="58" fillId="28" borderId="0" applyNumberFormat="0" applyBorder="0" applyAlignment="0" applyProtection="0">
      <alignment vertical="center"/>
    </xf>
    <xf numFmtId="0" fontId="59" fillId="29" borderId="0" applyNumberFormat="0" applyBorder="0" applyAlignment="0" applyProtection="0">
      <alignment vertical="center"/>
    </xf>
    <xf numFmtId="0" fontId="60" fillId="30" borderId="0" applyNumberFormat="0" applyBorder="0" applyAlignment="0" applyProtection="0">
      <alignment vertical="center"/>
    </xf>
    <xf numFmtId="0" fontId="60" fillId="31" borderId="0" applyNumberFormat="0" applyBorder="0" applyAlignment="0" applyProtection="0">
      <alignment vertical="center"/>
    </xf>
    <xf numFmtId="0" fontId="59" fillId="32" borderId="0" applyNumberFormat="0" applyBorder="0" applyAlignment="0" applyProtection="0">
      <alignment vertical="center"/>
    </xf>
    <xf numFmtId="0" fontId="59" fillId="33" borderId="0" applyNumberFormat="0" applyBorder="0" applyAlignment="0" applyProtection="0">
      <alignment vertical="center"/>
    </xf>
    <xf numFmtId="0" fontId="60" fillId="34" borderId="0" applyNumberFormat="0" applyBorder="0" applyAlignment="0" applyProtection="0">
      <alignment vertical="center"/>
    </xf>
    <xf numFmtId="0" fontId="60" fillId="35" borderId="0" applyNumberFormat="0" applyBorder="0" applyAlignment="0" applyProtection="0">
      <alignment vertical="center"/>
    </xf>
    <xf numFmtId="0" fontId="59" fillId="36" borderId="0" applyNumberFormat="0" applyBorder="0" applyAlignment="0" applyProtection="0">
      <alignment vertical="center"/>
    </xf>
    <xf numFmtId="0" fontId="59" fillId="37" borderId="0" applyNumberFormat="0" applyBorder="0" applyAlignment="0" applyProtection="0">
      <alignment vertical="center"/>
    </xf>
    <xf numFmtId="0" fontId="60" fillId="38" borderId="0" applyNumberFormat="0" applyBorder="0" applyAlignment="0" applyProtection="0">
      <alignment vertical="center"/>
    </xf>
    <xf numFmtId="0" fontId="60" fillId="39" borderId="0" applyNumberFormat="0" applyBorder="0" applyAlignment="0" applyProtection="0">
      <alignment vertical="center"/>
    </xf>
    <xf numFmtId="0" fontId="59" fillId="40" borderId="0" applyNumberFormat="0" applyBorder="0" applyAlignment="0" applyProtection="0">
      <alignment vertical="center"/>
    </xf>
    <xf numFmtId="0" fontId="59" fillId="41" borderId="0" applyNumberFormat="0" applyBorder="0" applyAlignment="0" applyProtection="0">
      <alignment vertical="center"/>
    </xf>
    <xf numFmtId="0" fontId="60" fillId="42" borderId="0" applyNumberFormat="0" applyBorder="0" applyAlignment="0" applyProtection="0">
      <alignment vertical="center"/>
    </xf>
    <xf numFmtId="0" fontId="60" fillId="43" borderId="0" applyNumberFormat="0" applyBorder="0" applyAlignment="0" applyProtection="0">
      <alignment vertical="center"/>
    </xf>
    <xf numFmtId="0" fontId="59" fillId="44" borderId="0" applyNumberFormat="0" applyBorder="0" applyAlignment="0" applyProtection="0">
      <alignment vertical="center"/>
    </xf>
    <xf numFmtId="0" fontId="59" fillId="45" borderId="0" applyNumberFormat="0" applyBorder="0" applyAlignment="0" applyProtection="0">
      <alignment vertical="center"/>
    </xf>
    <xf numFmtId="0" fontId="60" fillId="46" borderId="0" applyNumberFormat="0" applyBorder="0" applyAlignment="0" applyProtection="0">
      <alignment vertical="center"/>
    </xf>
    <xf numFmtId="0" fontId="60" fillId="47" borderId="0" applyNumberFormat="0" applyBorder="0" applyAlignment="0" applyProtection="0">
      <alignment vertical="center"/>
    </xf>
    <xf numFmtId="0" fontId="59" fillId="48" borderId="0" applyNumberFormat="0" applyBorder="0" applyAlignment="0" applyProtection="0">
      <alignment vertical="center"/>
    </xf>
    <xf numFmtId="0" fontId="59" fillId="49" borderId="0" applyNumberFormat="0" applyBorder="0" applyAlignment="0" applyProtection="0">
      <alignment vertical="center"/>
    </xf>
    <xf numFmtId="0" fontId="60" fillId="50" borderId="0" applyNumberFormat="0" applyBorder="0" applyAlignment="0" applyProtection="0">
      <alignment vertical="center"/>
    </xf>
    <xf numFmtId="0" fontId="60" fillId="51" borderId="0" applyNumberFormat="0" applyBorder="0" applyAlignment="0" applyProtection="0">
      <alignment vertical="center"/>
    </xf>
    <xf numFmtId="0" fontId="59" fillId="52" borderId="0" applyNumberFormat="0" applyBorder="0" applyAlignment="0" applyProtection="0">
      <alignment vertical="center"/>
    </xf>
    <xf numFmtId="0" fontId="61" fillId="0" borderId="0">
      <protection locked="0"/>
    </xf>
    <xf numFmtId="177" fontId="61" fillId="0" borderId="0">
      <alignment vertical="top"/>
      <protection locked="0"/>
    </xf>
    <xf numFmtId="0" fontId="62" fillId="0" borderId="0">
      <alignment vertical="top"/>
      <protection locked="0"/>
    </xf>
    <xf numFmtId="180" fontId="61" fillId="0" borderId="0">
      <alignment vertical="top"/>
      <protection locked="0"/>
    </xf>
  </cellStyleXfs>
  <cellXfs count="320">
    <xf numFmtId="0" fontId="0" fillId="0" borderId="0" xfId="0">
      <alignment vertical="center"/>
    </xf>
    <xf numFmtId="0" fontId="1" fillId="0" borderId="0" xfId="0" applyFont="1" applyAlignment="1"/>
    <xf numFmtId="181" fontId="2" fillId="0" borderId="0" xfId="0" applyNumberFormat="1" applyFont="1" applyAlignment="1"/>
    <xf numFmtId="49" fontId="3" fillId="0" borderId="0" xfId="49" applyNumberFormat="1" applyFont="1" applyAlignment="1" applyProtection="1">
      <alignment vertical="center"/>
    </xf>
    <xf numFmtId="49" fontId="3" fillId="0" borderId="0" xfId="49" applyNumberFormat="1" applyFont="1" applyAlignment="1" applyProtection="1">
      <alignment horizontal="right" vertical="center"/>
    </xf>
    <xf numFmtId="0" fontId="3" fillId="0" borderId="0" xfId="49" applyFont="1" applyAlignment="1" applyProtection="1">
      <alignment vertical="center"/>
    </xf>
    <xf numFmtId="0" fontId="4" fillId="0" borderId="0" xfId="49" applyFont="1" applyAlignment="1" applyProtection="1">
      <alignment horizontal="center" vertical="center"/>
    </xf>
    <xf numFmtId="0" fontId="5" fillId="0" borderId="0" xfId="49" applyFont="1" applyAlignment="1" applyProtection="1">
      <alignment horizontal="center" vertical="center"/>
    </xf>
    <xf numFmtId="49" fontId="6" fillId="0" borderId="0" xfId="49" applyNumberFormat="1" applyFont="1" applyAlignment="1" applyProtection="1">
      <alignment horizontal="left" vertical="center"/>
    </xf>
    <xf numFmtId="0" fontId="5" fillId="0" borderId="0" xfId="49" applyFont="1" applyAlignment="1">
      <alignment horizontal="center" vertical="center"/>
      <protection locked="0"/>
    </xf>
    <xf numFmtId="49" fontId="5" fillId="0" borderId="0" xfId="49" applyNumberFormat="1" applyFont="1" applyAlignment="1" applyProtection="1">
      <alignment horizontal="right" vertical="center"/>
    </xf>
    <xf numFmtId="49" fontId="4" fillId="0" borderId="0" xfId="49" applyNumberFormat="1" applyFont="1" applyAlignment="1">
      <alignment horizontal="left" vertical="center" shrinkToFit="1"/>
      <protection locked="0"/>
    </xf>
    <xf numFmtId="0" fontId="5" fillId="0" borderId="0" xfId="49" applyFont="1" applyAlignment="1">
      <alignment horizontal="right" vertical="center"/>
      <protection locked="0"/>
    </xf>
    <xf numFmtId="1" fontId="4" fillId="2" borderId="1" xfId="50" applyNumberFormat="1" applyFont="1" applyFill="1" applyBorder="1" applyAlignment="1">
      <alignment horizontal="center" vertical="center" shrinkToFit="1"/>
      <protection locked="0"/>
    </xf>
    <xf numFmtId="1" fontId="4" fillId="2" borderId="1" xfId="49" applyNumberFormat="1" applyFont="1" applyFill="1" applyBorder="1" applyAlignment="1">
      <alignment horizontal="center" vertical="center"/>
      <protection locked="0"/>
    </xf>
    <xf numFmtId="49" fontId="3" fillId="0" borderId="0" xfId="49" applyNumberFormat="1" applyFont="1" applyAlignment="1">
      <alignment vertical="center"/>
      <protection locked="0"/>
    </xf>
    <xf numFmtId="0" fontId="7" fillId="0" borderId="0" xfId="49" applyFont="1" applyAlignment="1">
      <alignment horizontal="right" vertical="center"/>
      <protection locked="0"/>
    </xf>
    <xf numFmtId="37" fontId="4" fillId="0" borderId="1" xfId="49" applyNumberFormat="1" applyFont="1" applyBorder="1" applyAlignment="1">
      <alignment horizontal="center" vertical="center" shrinkToFit="1"/>
      <protection locked="0"/>
    </xf>
    <xf numFmtId="37" fontId="4" fillId="3" borderId="1" xfId="50" applyNumberFormat="1" applyFont="1" applyFill="1" applyBorder="1" applyAlignment="1">
      <alignment horizontal="center" vertical="center" shrinkToFit="1"/>
      <protection locked="0"/>
    </xf>
    <xf numFmtId="182" fontId="4" fillId="2" borderId="1" xfId="49" applyNumberFormat="1" applyFont="1" applyFill="1" applyBorder="1" applyAlignment="1">
      <alignment horizontal="center" vertical="center" shrinkToFit="1"/>
      <protection locked="0"/>
    </xf>
    <xf numFmtId="0" fontId="3" fillId="0" borderId="0" xfId="49" applyFont="1" applyAlignment="1" applyProtection="1">
      <alignment horizontal="center" vertical="center"/>
    </xf>
    <xf numFmtId="37" fontId="4" fillId="2" borderId="1" xfId="50" applyNumberFormat="1" applyFont="1" applyFill="1" applyBorder="1" applyAlignment="1">
      <alignment horizontal="center" vertical="center" shrinkToFit="1"/>
      <protection locked="0"/>
    </xf>
    <xf numFmtId="49" fontId="3" fillId="3" borderId="0" xfId="49" applyNumberFormat="1" applyFont="1" applyFill="1" applyAlignment="1">
      <alignment vertical="center"/>
      <protection locked="0"/>
    </xf>
    <xf numFmtId="49" fontId="5" fillId="0" borderId="0" xfId="49" applyNumberFormat="1" applyFont="1" applyAlignment="1">
      <alignment horizontal="right" vertical="center"/>
      <protection locked="0"/>
    </xf>
    <xf numFmtId="37" fontId="4" fillId="3" borderId="1" xfId="49" applyNumberFormat="1" applyFont="1" applyFill="1" applyBorder="1" applyAlignment="1">
      <alignment horizontal="center" vertical="center" shrinkToFit="1"/>
      <protection locked="0"/>
    </xf>
    <xf numFmtId="49" fontId="7" fillId="0" borderId="0" xfId="49" applyNumberFormat="1" applyFont="1" applyAlignment="1">
      <alignment horizontal="right" vertical="center"/>
      <protection locked="0"/>
    </xf>
    <xf numFmtId="0" fontId="5" fillId="0" borderId="0" xfId="49" applyFont="1" applyAlignment="1">
      <alignment horizontal="center" vertical="center" wrapText="1"/>
      <protection locked="0"/>
    </xf>
    <xf numFmtId="0" fontId="5" fillId="0" borderId="2" xfId="49" applyFont="1" applyBorder="1" applyAlignment="1">
      <alignment horizontal="center" vertical="center" wrapText="1"/>
      <protection locked="0"/>
    </xf>
    <xf numFmtId="37" fontId="4" fillId="0" borderId="1" xfId="50" applyNumberFormat="1" applyFont="1" applyFill="1" applyBorder="1" applyAlignment="1">
      <alignment horizontal="center" vertical="center" shrinkToFit="1"/>
      <protection locked="0"/>
    </xf>
    <xf numFmtId="49" fontId="5" fillId="0" borderId="0" xfId="49" applyNumberFormat="1" applyFont="1" applyAlignment="1" applyProtection="1">
      <alignment horizontal="center" vertical="center" wrapText="1"/>
    </xf>
    <xf numFmtId="37" fontId="4" fillId="4" borderId="1" xfId="50" applyNumberFormat="1" applyFont="1" applyFill="1" applyBorder="1" applyAlignment="1" applyProtection="1">
      <alignment horizontal="center" vertical="center" shrinkToFit="1"/>
    </xf>
    <xf numFmtId="182" fontId="4" fillId="0" borderId="1" xfId="50" applyNumberFormat="1" applyFont="1" applyFill="1" applyBorder="1" applyAlignment="1">
      <alignment horizontal="center" vertical="center" shrinkToFit="1"/>
      <protection locked="0"/>
    </xf>
    <xf numFmtId="37" fontId="5" fillId="5" borderId="1" xfId="49" applyNumberFormat="1" applyFont="1" applyFill="1" applyBorder="1" applyAlignment="1" applyProtection="1">
      <alignment horizontal="center" vertical="center" shrinkToFit="1"/>
    </xf>
    <xf numFmtId="37" fontId="5" fillId="0" borderId="0" xfId="49" applyNumberFormat="1" applyFont="1" applyAlignment="1" applyProtection="1">
      <alignment horizontal="center" vertical="center" shrinkToFit="1"/>
    </xf>
    <xf numFmtId="49" fontId="3" fillId="0" borderId="0" xfId="49" applyNumberFormat="1" applyFont="1" applyAlignment="1">
      <alignment horizontal="right"/>
      <protection locked="0"/>
    </xf>
    <xf numFmtId="49" fontId="3" fillId="0" borderId="0" xfId="49" applyNumberFormat="1" applyFont="1" applyAlignment="1">
      <protection locked="0"/>
    </xf>
    <xf numFmtId="49" fontId="3" fillId="0" borderId="0" xfId="49" applyNumberFormat="1" applyFont="1" applyAlignment="1" applyProtection="1">
      <alignment horizontal="left" vertical="center"/>
    </xf>
    <xf numFmtId="49" fontId="3" fillId="0" borderId="0" xfId="49" applyNumberFormat="1" applyFont="1" applyAlignment="1" applyProtection="1">
      <alignment horizontal="center" vertical="center"/>
    </xf>
    <xf numFmtId="49" fontId="3" fillId="0" borderId="0" xfId="49" applyNumberFormat="1" applyFont="1" applyAlignment="1" applyProtection="1">
      <alignment horizontal="center" vertical="center" shrinkToFit="1"/>
    </xf>
    <xf numFmtId="1" fontId="4" fillId="0" borderId="0" xfId="50" applyNumberFormat="1" applyFont="1" applyFill="1" applyBorder="1" applyAlignment="1">
      <alignment horizontal="center" vertical="center" shrinkToFit="1"/>
      <protection locked="0"/>
    </xf>
    <xf numFmtId="49" fontId="4" fillId="0" borderId="0" xfId="49" applyNumberFormat="1" applyFont="1" applyAlignment="1" applyProtection="1">
      <alignment horizontal="center" vertical="center"/>
    </xf>
    <xf numFmtId="49" fontId="8" fillId="0" borderId="0" xfId="49" applyNumberFormat="1" applyFont="1" applyAlignment="1" applyProtection="1">
      <alignment horizontal="center" vertical="center" shrinkToFit="1"/>
    </xf>
    <xf numFmtId="49" fontId="5" fillId="0" borderId="3" xfId="49" applyNumberFormat="1" applyFont="1" applyBorder="1" applyAlignment="1" applyProtection="1">
      <alignment horizontal="center" vertical="center"/>
    </xf>
    <xf numFmtId="49" fontId="5" fillId="6" borderId="3" xfId="49" applyNumberFormat="1" applyFont="1" applyFill="1" applyBorder="1" applyAlignment="1" applyProtection="1">
      <alignment horizontal="center" vertical="center" wrapText="1"/>
    </xf>
    <xf numFmtId="49" fontId="5" fillId="0" borderId="3" xfId="49" applyNumberFormat="1" applyFont="1" applyBorder="1" applyAlignment="1" applyProtection="1">
      <alignment horizontal="center" vertical="center" wrapText="1"/>
    </xf>
    <xf numFmtId="49" fontId="9" fillId="0" borderId="4" xfId="49" applyNumberFormat="1" applyFont="1" applyBorder="1" applyAlignment="1" applyProtection="1">
      <alignment horizontal="center" vertical="center" wrapText="1" shrinkToFit="1"/>
    </xf>
    <xf numFmtId="4" fontId="10" fillId="7" borderId="5" xfId="49" applyNumberFormat="1" applyFont="1" applyFill="1" applyBorder="1" applyAlignment="1" applyProtection="1">
      <alignment horizontal="center" vertical="center" wrapText="1" shrinkToFit="1"/>
    </xf>
    <xf numFmtId="4" fontId="5" fillId="8" borderId="3" xfId="49" applyNumberFormat="1" applyFont="1" applyFill="1" applyBorder="1" applyAlignment="1" applyProtection="1">
      <alignment horizontal="center" vertical="center" wrapText="1" shrinkToFit="1"/>
    </xf>
    <xf numFmtId="49" fontId="5" fillId="0" borderId="6" xfId="49" applyNumberFormat="1" applyFont="1" applyBorder="1" applyAlignment="1" applyProtection="1">
      <alignment horizontal="center" vertical="center"/>
    </xf>
    <xf numFmtId="49" fontId="5" fillId="6" borderId="6" xfId="49" applyNumberFormat="1" applyFont="1" applyFill="1" applyBorder="1" applyAlignment="1" applyProtection="1">
      <alignment horizontal="center" vertical="center" wrapText="1"/>
    </xf>
    <xf numFmtId="49" fontId="5" fillId="0" borderId="6" xfId="49" applyNumberFormat="1" applyFont="1" applyBorder="1" applyAlignment="1" applyProtection="1">
      <alignment horizontal="center" vertical="center" wrapText="1"/>
    </xf>
    <xf numFmtId="49" fontId="9" fillId="0" borderId="7" xfId="49" applyNumberFormat="1" applyFont="1" applyBorder="1" applyAlignment="1" applyProtection="1">
      <alignment horizontal="center" vertical="center" wrapText="1" shrinkToFit="1"/>
    </xf>
    <xf numFmtId="4" fontId="10" fillId="7" borderId="8" xfId="49" applyNumberFormat="1" applyFont="1" applyFill="1" applyBorder="1" applyAlignment="1" applyProtection="1">
      <alignment horizontal="center" vertical="center" wrapText="1" shrinkToFit="1"/>
    </xf>
    <xf numFmtId="4" fontId="5" fillId="8" borderId="6" xfId="49" applyNumberFormat="1" applyFont="1" applyFill="1" applyBorder="1" applyAlignment="1" applyProtection="1">
      <alignment horizontal="center" vertical="center" wrapText="1" shrinkToFit="1"/>
    </xf>
    <xf numFmtId="49" fontId="5" fillId="0" borderId="9" xfId="49" applyNumberFormat="1" applyFont="1" applyBorder="1" applyAlignment="1" applyProtection="1">
      <alignment horizontal="center" vertical="center"/>
    </xf>
    <xf numFmtId="10" fontId="11" fillId="6" borderId="9" xfId="49" applyNumberFormat="1" applyFont="1" applyFill="1" applyBorder="1" applyAlignment="1" applyProtection="1">
      <alignment horizontal="center" vertical="center" wrapText="1"/>
    </xf>
    <xf numFmtId="49" fontId="5" fillId="0" borderId="9" xfId="49" applyNumberFormat="1" applyFont="1" applyBorder="1" applyAlignment="1" applyProtection="1">
      <alignment horizontal="center" vertical="center" wrapText="1"/>
    </xf>
    <xf numFmtId="49" fontId="9" fillId="0" borderId="10" xfId="49" applyNumberFormat="1" applyFont="1" applyBorder="1" applyAlignment="1" applyProtection="1">
      <alignment horizontal="center" vertical="center" wrapText="1" shrinkToFit="1"/>
    </xf>
    <xf numFmtId="182" fontId="12" fillId="7" borderId="11" xfId="3" applyNumberFormat="1" applyFont="1" applyFill="1" applyBorder="1" applyAlignment="1" applyProtection="1">
      <alignment horizontal="center" vertical="center" wrapText="1" shrinkToFit="1"/>
    </xf>
    <xf numFmtId="4" fontId="5" fillId="8" borderId="9" xfId="49" applyNumberFormat="1" applyFont="1" applyFill="1" applyBorder="1" applyAlignment="1" applyProtection="1">
      <alignment horizontal="center" vertical="center" wrapText="1" shrinkToFit="1"/>
    </xf>
    <xf numFmtId="0" fontId="3" fillId="9" borderId="12" xfId="49" applyFont="1" applyFill="1" applyBorder="1" applyAlignment="1" applyProtection="1">
      <alignment horizontal="center" vertical="center"/>
    </xf>
    <xf numFmtId="3" fontId="3" fillId="6" borderId="13" xfId="49" applyNumberFormat="1" applyFont="1" applyFill="1" applyBorder="1" applyAlignment="1" applyProtection="1">
      <alignment horizontal="center" vertical="center" shrinkToFit="1"/>
    </xf>
    <xf numFmtId="183" fontId="3" fillId="0" borderId="12" xfId="49" applyNumberFormat="1" applyFont="1" applyBorder="1" applyAlignment="1">
      <alignment horizontal="center" vertical="center"/>
      <protection locked="0"/>
    </xf>
    <xf numFmtId="3" fontId="13" fillId="0" borderId="12" xfId="49" applyNumberFormat="1" applyFont="1" applyBorder="1" applyAlignment="1" applyProtection="1">
      <alignment horizontal="center" vertical="center" shrinkToFit="1"/>
    </xf>
    <xf numFmtId="3" fontId="14" fillId="7" borderId="14" xfId="49" applyNumberFormat="1" applyFont="1" applyFill="1" applyBorder="1" applyAlignment="1" applyProtection="1">
      <alignment horizontal="center" vertical="center" shrinkToFit="1"/>
    </xf>
    <xf numFmtId="3" fontId="3" fillId="8" borderId="3" xfId="49" applyNumberFormat="1" applyFont="1" applyFill="1" applyBorder="1" applyAlignment="1" applyProtection="1">
      <alignment horizontal="center" vertical="center" shrinkToFit="1"/>
    </xf>
    <xf numFmtId="0" fontId="3" fillId="9" borderId="15" xfId="49" applyFont="1" applyFill="1" applyBorder="1" applyAlignment="1" applyProtection="1">
      <alignment horizontal="center" vertical="center"/>
    </xf>
    <xf numFmtId="183" fontId="3" fillId="0" borderId="15" xfId="49" applyNumberFormat="1" applyFont="1" applyBorder="1" applyAlignment="1">
      <alignment horizontal="center" vertical="center"/>
      <protection locked="0"/>
    </xf>
    <xf numFmtId="3" fontId="13" fillId="0" borderId="15" xfId="49" applyNumberFormat="1" applyFont="1" applyBorder="1" applyAlignment="1" applyProtection="1">
      <alignment horizontal="center" vertical="center" shrinkToFit="1"/>
    </xf>
    <xf numFmtId="3" fontId="14" fillId="7" borderId="16" xfId="49" applyNumberFormat="1" applyFont="1" applyFill="1" applyBorder="1" applyAlignment="1" applyProtection="1">
      <alignment horizontal="center" vertical="center" shrinkToFit="1"/>
    </xf>
    <xf numFmtId="3" fontId="3" fillId="8" borderId="15" xfId="49" applyNumberFormat="1" applyFont="1" applyFill="1" applyBorder="1" applyAlignment="1" applyProtection="1">
      <alignment horizontal="center" vertical="center" shrinkToFit="1"/>
    </xf>
    <xf numFmtId="0" fontId="3" fillId="10" borderId="15" xfId="49" applyFont="1" applyFill="1" applyBorder="1" applyAlignment="1" applyProtection="1">
      <alignment horizontal="center" vertical="center"/>
    </xf>
    <xf numFmtId="0" fontId="3" fillId="10" borderId="17" xfId="49" applyFont="1" applyFill="1" applyBorder="1" applyAlignment="1" applyProtection="1">
      <alignment horizontal="center" vertical="center"/>
    </xf>
    <xf numFmtId="3" fontId="14" fillId="7" borderId="18" xfId="49" applyNumberFormat="1" applyFont="1" applyFill="1" applyBorder="1" applyAlignment="1" applyProtection="1">
      <alignment horizontal="center" vertical="center" shrinkToFit="1"/>
    </xf>
    <xf numFmtId="0" fontId="15" fillId="11" borderId="15" xfId="49" applyFont="1" applyFill="1" applyBorder="1" applyAlignment="1" applyProtection="1">
      <alignment horizontal="center" vertical="center"/>
    </xf>
    <xf numFmtId="0" fontId="15" fillId="11" borderId="17" xfId="49" applyFont="1" applyFill="1" applyBorder="1" applyAlignment="1" applyProtection="1">
      <alignment horizontal="center" vertical="center"/>
    </xf>
    <xf numFmtId="49" fontId="4" fillId="0" borderId="0" xfId="49" applyNumberFormat="1" applyFont="1" applyAlignment="1">
      <alignment horizontal="center" vertical="center"/>
      <protection locked="0"/>
    </xf>
    <xf numFmtId="39" fontId="4" fillId="0" borderId="0" xfId="50" applyNumberFormat="1" applyFont="1" applyFill="1" applyBorder="1" applyAlignment="1" applyProtection="1">
      <alignment horizontal="center" vertical="center" shrinkToFit="1"/>
    </xf>
    <xf numFmtId="182" fontId="4" fillId="2" borderId="1" xfId="50" applyNumberFormat="1" applyFont="1" applyFill="1" applyBorder="1" applyAlignment="1">
      <alignment horizontal="center" vertical="center" shrinkToFit="1"/>
      <protection locked="0"/>
    </xf>
    <xf numFmtId="39" fontId="5" fillId="0" borderId="0" xfId="50" applyNumberFormat="1" applyFont="1" applyFill="1" applyBorder="1" applyAlignment="1" applyProtection="1">
      <alignment horizontal="center" vertical="center"/>
    </xf>
    <xf numFmtId="10" fontId="4" fillId="0" borderId="0" xfId="49" applyNumberFormat="1" applyFont="1" applyAlignment="1" applyProtection="1">
      <alignment horizontal="center" vertical="center" shrinkToFit="1"/>
    </xf>
    <xf numFmtId="49" fontId="8" fillId="0" borderId="0" xfId="49" applyNumberFormat="1" applyFont="1" applyAlignment="1" applyProtection="1">
      <alignment horizontal="center" vertical="center"/>
    </xf>
    <xf numFmtId="49" fontId="8" fillId="0" borderId="0" xfId="49" applyNumberFormat="1" applyFont="1" applyAlignment="1" applyProtection="1">
      <alignment horizontal="left" vertical="center"/>
    </xf>
    <xf numFmtId="49" fontId="5" fillId="0" borderId="0" xfId="49" applyNumberFormat="1" applyFont="1" applyAlignment="1" applyProtection="1">
      <alignment horizontal="center" vertical="center" shrinkToFit="1"/>
    </xf>
    <xf numFmtId="182" fontId="5" fillId="0" borderId="0" xfId="49" applyNumberFormat="1" applyFont="1" applyAlignment="1" applyProtection="1">
      <alignment horizontal="center" vertical="center"/>
    </xf>
    <xf numFmtId="0" fontId="16" fillId="0" borderId="0" xfId="49" applyFont="1" applyAlignment="1" applyProtection="1">
      <alignment horizontal="left" vertical="center"/>
    </xf>
    <xf numFmtId="49" fontId="3" fillId="0" borderId="3" xfId="49" applyNumberFormat="1" applyFont="1" applyBorder="1" applyAlignment="1" applyProtection="1">
      <alignment vertical="center"/>
    </xf>
    <xf numFmtId="1" fontId="3" fillId="0" borderId="3" xfId="49" applyNumberFormat="1" applyFont="1" applyBorder="1" applyAlignment="1" applyProtection="1">
      <alignment horizontal="center" vertical="center"/>
    </xf>
    <xf numFmtId="49" fontId="3" fillId="0" borderId="6" xfId="49" applyNumberFormat="1" applyFont="1" applyBorder="1" applyAlignment="1" applyProtection="1">
      <alignment vertical="center"/>
    </xf>
    <xf numFmtId="1" fontId="3" fillId="0" borderId="6" xfId="49" applyNumberFormat="1" applyFont="1" applyBorder="1" applyAlignment="1" applyProtection="1">
      <alignment horizontal="center" vertical="center"/>
    </xf>
    <xf numFmtId="49" fontId="3" fillId="0" borderId="9" xfId="49" applyNumberFormat="1" applyFont="1" applyBorder="1" applyAlignment="1" applyProtection="1">
      <alignment vertical="center"/>
    </xf>
    <xf numFmtId="1" fontId="3" fillId="0" borderId="9" xfId="49" applyNumberFormat="1" applyFont="1" applyBorder="1" applyAlignment="1" applyProtection="1">
      <alignment horizontal="center" vertical="center"/>
    </xf>
    <xf numFmtId="2" fontId="3" fillId="0" borderId="1" xfId="49" applyNumberFormat="1" applyFont="1" applyBorder="1" applyAlignment="1" applyProtection="1">
      <alignment vertical="center"/>
    </xf>
    <xf numFmtId="184" fontId="3" fillId="0" borderId="3" xfId="49" applyNumberFormat="1" applyFont="1" applyBorder="1" applyAlignment="1" applyProtection="1">
      <alignment horizontal="center" vertical="center"/>
    </xf>
    <xf numFmtId="184" fontId="3" fillId="0" borderId="6" xfId="49" applyNumberFormat="1" applyFont="1" applyBorder="1" applyAlignment="1" applyProtection="1">
      <alignment horizontal="center" vertical="center"/>
    </xf>
    <xf numFmtId="184" fontId="3" fillId="0" borderId="9" xfId="49" applyNumberFormat="1" applyFont="1" applyBorder="1" applyAlignment="1" applyProtection="1">
      <alignment horizontal="center" vertical="center"/>
    </xf>
    <xf numFmtId="49" fontId="3" fillId="0" borderId="19" xfId="49" applyNumberFormat="1" applyFont="1" applyBorder="1" applyAlignment="1" applyProtection="1">
      <alignment horizontal="right" vertical="center"/>
    </xf>
    <xf numFmtId="49" fontId="8" fillId="0" borderId="0" xfId="49" applyNumberFormat="1" applyFont="1" applyAlignment="1" applyProtection="1">
      <alignment vertical="center"/>
    </xf>
    <xf numFmtId="49" fontId="5" fillId="0" borderId="0" xfId="49" applyNumberFormat="1" applyFont="1" applyAlignment="1" applyProtection="1">
      <alignment vertical="center"/>
    </xf>
    <xf numFmtId="9" fontId="3" fillId="0" borderId="0" xfId="49" applyNumberFormat="1" applyFont="1" applyAlignment="1" applyProtection="1">
      <alignment vertical="center"/>
    </xf>
    <xf numFmtId="2" fontId="3" fillId="0" borderId="0" xfId="49" applyNumberFormat="1" applyFont="1" applyAlignment="1" applyProtection="1">
      <alignment horizontal="right" vertical="center"/>
    </xf>
    <xf numFmtId="49" fontId="3" fillId="12" borderId="0" xfId="49" applyNumberFormat="1" applyFont="1" applyFill="1" applyAlignment="1" applyProtection="1">
      <alignment vertical="center"/>
    </xf>
    <xf numFmtId="9" fontId="17" fillId="0" borderId="1" xfId="49" applyNumberFormat="1" applyFont="1" applyBorder="1" applyAlignment="1" applyProtection="1">
      <alignment horizontal="right" vertical="center"/>
    </xf>
    <xf numFmtId="9" fontId="3" fillId="0" borderId="0" xfId="49" applyNumberFormat="1" applyFont="1" applyAlignment="1" applyProtection="1">
      <alignment horizontal="right" vertical="center"/>
    </xf>
    <xf numFmtId="9" fontId="17" fillId="0" borderId="0" xfId="49" applyNumberFormat="1" applyFont="1" applyAlignment="1" applyProtection="1">
      <alignment horizontal="right" vertical="center"/>
    </xf>
    <xf numFmtId="9" fontId="17" fillId="12" borderId="1" xfId="49" applyNumberFormat="1" applyFont="1" applyFill="1" applyBorder="1" applyAlignment="1" applyProtection="1">
      <alignment horizontal="right" vertical="center"/>
    </xf>
    <xf numFmtId="3" fontId="5" fillId="12" borderId="0" xfId="49" applyNumberFormat="1" applyFont="1" applyFill="1" applyAlignment="1" applyProtection="1">
      <alignment horizontal="center" vertical="center"/>
    </xf>
    <xf numFmtId="3" fontId="3" fillId="0" borderId="0" xfId="49" applyNumberFormat="1" applyFont="1" applyAlignment="1" applyProtection="1">
      <alignment horizontal="center" vertical="center"/>
    </xf>
    <xf numFmtId="3" fontId="5" fillId="0" borderId="0" xfId="49" applyNumberFormat="1" applyFont="1" applyAlignment="1" applyProtection="1">
      <alignment horizontal="center" vertical="center"/>
    </xf>
    <xf numFmtId="185" fontId="3" fillId="0" borderId="0" xfId="49" applyNumberFormat="1" applyFont="1" applyAlignment="1" applyProtection="1">
      <alignment vertical="center"/>
    </xf>
    <xf numFmtId="49" fontId="3" fillId="0" borderId="0" xfId="49" applyNumberFormat="1" applyFont="1" applyAlignment="1" applyProtection="1">
      <alignment vertical="top"/>
    </xf>
    <xf numFmtId="1" fontId="3" fillId="0" borderId="0" xfId="49" applyNumberFormat="1" applyFont="1" applyAlignment="1" applyProtection="1">
      <alignment vertical="center"/>
    </xf>
    <xf numFmtId="1" fontId="3" fillId="0" borderId="0" xfId="49" applyNumberFormat="1" applyFont="1" applyAlignment="1" applyProtection="1">
      <alignment horizontal="center" vertical="center"/>
    </xf>
    <xf numFmtId="0" fontId="18" fillId="0" borderId="0" xfId="51" applyFont="1" applyFill="1" applyBorder="1" applyAlignment="1" applyProtection="1">
      <alignment horizontal="center" vertical="center"/>
    </xf>
    <xf numFmtId="0" fontId="19" fillId="0" borderId="0" xfId="51" applyFont="1" applyFill="1" applyBorder="1" applyAlignment="1" applyProtection="1">
      <alignment vertical="center"/>
    </xf>
    <xf numFmtId="3" fontId="3" fillId="0" borderId="20" xfId="49" applyNumberFormat="1" applyFont="1" applyBorder="1" applyAlignment="1" applyProtection="1">
      <alignment horizontal="center" vertical="center"/>
    </xf>
    <xf numFmtId="2" fontId="3" fillId="0" borderId="0" xfId="49" applyNumberFormat="1" applyFont="1" applyAlignment="1" applyProtection="1">
      <alignment horizontal="center" vertical="center"/>
    </xf>
    <xf numFmtId="1" fontId="3" fillId="0" borderId="20" xfId="49" applyNumberFormat="1" applyFont="1" applyBorder="1" applyAlignment="1" applyProtection="1">
      <alignment horizontal="center" vertical="center"/>
    </xf>
    <xf numFmtId="0" fontId="19" fillId="0" borderId="0" xfId="51" applyFont="1" applyBorder="1" applyAlignment="1" applyProtection="1"/>
    <xf numFmtId="4" fontId="3" fillId="0" borderId="0" xfId="49" applyNumberFormat="1" applyFont="1" applyAlignment="1" applyProtection="1">
      <alignment vertical="center"/>
    </xf>
    <xf numFmtId="4" fontId="3" fillId="0" borderId="0" xfId="49" applyNumberFormat="1" applyFont="1" applyAlignment="1" applyProtection="1">
      <alignment horizontal="center" vertical="center"/>
    </xf>
    <xf numFmtId="2" fontId="3" fillId="0" borderId="0" xfId="49" applyNumberFormat="1" applyFont="1" applyAlignment="1" applyProtection="1">
      <alignment vertical="center"/>
    </xf>
    <xf numFmtId="0" fontId="19" fillId="3" borderId="0" xfId="51" applyFont="1" applyFill="1" applyAlignment="1">
      <protection locked="0"/>
    </xf>
    <xf numFmtId="0" fontId="19" fillId="0" borderId="0" xfId="51" applyFont="1" applyBorder="1" applyAlignment="1" applyProtection="1">
      <alignment vertical="center"/>
    </xf>
    <xf numFmtId="9" fontId="3" fillId="0" borderId="20" xfId="49" applyNumberFormat="1" applyFont="1" applyBorder="1" applyAlignment="1" applyProtection="1">
      <alignment horizontal="center" vertical="center"/>
    </xf>
    <xf numFmtId="9" fontId="3" fillId="0" borderId="0" xfId="49" applyNumberFormat="1" applyFont="1" applyAlignment="1" applyProtection="1">
      <alignment horizontal="center" vertical="center"/>
    </xf>
    <xf numFmtId="3" fontId="3" fillId="0" borderId="0" xfId="49" applyNumberFormat="1" applyFont="1" applyAlignment="1" applyProtection="1">
      <alignment vertical="center"/>
    </xf>
    <xf numFmtId="49" fontId="3" fillId="13" borderId="0" xfId="49" applyNumberFormat="1" applyFont="1" applyFill="1" applyAlignment="1" applyProtection="1">
      <alignment horizontal="right" vertical="center"/>
    </xf>
    <xf numFmtId="180" fontId="3" fillId="13" borderId="0" xfId="52" applyFont="1" applyFill="1" applyAlignment="1" applyProtection="1">
      <alignment vertical="center"/>
    </xf>
    <xf numFmtId="3" fontId="3" fillId="12" borderId="20" xfId="49" applyNumberFormat="1" applyFont="1" applyFill="1" applyBorder="1" applyAlignment="1" applyProtection="1">
      <alignment horizontal="center" vertical="center"/>
    </xf>
    <xf numFmtId="0" fontId="20" fillId="0" borderId="0" xfId="51" applyFont="1" applyFill="1" applyBorder="1" applyAlignment="1" applyProtection="1">
      <alignment vertical="center"/>
    </xf>
    <xf numFmtId="3" fontId="3" fillId="13" borderId="0" xfId="49" applyNumberFormat="1" applyFont="1" applyFill="1" applyAlignment="1" applyProtection="1">
      <alignment vertical="center"/>
    </xf>
    <xf numFmtId="0" fontId="19" fillId="0" borderId="0" xfId="51" applyFont="1" applyFill="1" applyBorder="1" applyAlignment="1" applyProtection="1">
      <alignment horizontal="left" vertical="center"/>
    </xf>
    <xf numFmtId="2" fontId="3" fillId="13" borderId="0" xfId="49" applyNumberFormat="1" applyFont="1" applyFill="1" applyAlignment="1" applyProtection="1">
      <alignment horizontal="center" vertical="center"/>
    </xf>
    <xf numFmtId="9" fontId="5" fillId="0" borderId="0" xfId="3" applyFont="1" applyAlignment="1" applyProtection="1">
      <alignment vertical="center"/>
    </xf>
    <xf numFmtId="3" fontId="3" fillId="13" borderId="21" xfId="49" applyNumberFormat="1" applyFont="1" applyFill="1" applyBorder="1" applyAlignment="1" applyProtection="1">
      <alignment horizontal="center"/>
    </xf>
    <xf numFmtId="3" fontId="3" fillId="0" borderId="0" xfId="49" applyNumberFormat="1" applyFont="1" applyAlignment="1" applyProtection="1">
      <alignment horizontal="center"/>
    </xf>
    <xf numFmtId="3" fontId="3" fillId="13" borderId="20" xfId="49" applyNumberFormat="1" applyFont="1" applyFill="1" applyBorder="1" applyAlignment="1" applyProtection="1">
      <alignment horizontal="center"/>
    </xf>
    <xf numFmtId="3" fontId="3" fillId="0" borderId="20" xfId="49" applyNumberFormat="1" applyFont="1" applyBorder="1" applyAlignment="1" applyProtection="1">
      <alignment horizontal="center"/>
    </xf>
    <xf numFmtId="3" fontId="3" fillId="0" borderId="21" xfId="49" applyNumberFormat="1" applyFont="1" applyBorder="1" applyAlignment="1" applyProtection="1">
      <alignment horizontal="center" vertical="center"/>
    </xf>
    <xf numFmtId="37" fontId="3" fillId="0" borderId="20" xfId="49" applyNumberFormat="1" applyFont="1" applyBorder="1" applyAlignment="1" applyProtection="1">
      <alignment horizontal="center" vertical="center"/>
    </xf>
    <xf numFmtId="37" fontId="3" fillId="0" borderId="0" xfId="49" applyNumberFormat="1" applyFont="1" applyAlignment="1" applyProtection="1">
      <alignment vertical="center"/>
    </xf>
    <xf numFmtId="9" fontId="3" fillId="0" borderId="0" xfId="3" applyFont="1" applyAlignment="1" applyProtection="1">
      <alignment vertical="center"/>
    </xf>
    <xf numFmtId="0" fontId="3" fillId="11" borderId="15" xfId="49" applyFont="1" applyFill="1" applyBorder="1" applyAlignment="1" applyProtection="1">
      <alignment horizontal="center" vertical="center"/>
    </xf>
    <xf numFmtId="0" fontId="3" fillId="11" borderId="17" xfId="49" applyFont="1" applyFill="1" applyBorder="1" applyAlignment="1" applyProtection="1">
      <alignment horizontal="center" vertical="center"/>
    </xf>
    <xf numFmtId="0" fontId="3" fillId="11" borderId="22" xfId="49" applyFont="1" applyFill="1" applyBorder="1" applyAlignment="1" applyProtection="1">
      <alignment horizontal="center" vertical="center"/>
    </xf>
    <xf numFmtId="3" fontId="14" fillId="7" borderId="23" xfId="49" applyNumberFormat="1" applyFont="1" applyFill="1" applyBorder="1" applyAlignment="1" applyProtection="1">
      <alignment horizontal="center" vertical="center" shrinkToFit="1"/>
    </xf>
    <xf numFmtId="0" fontId="3" fillId="11" borderId="24" xfId="49" applyFont="1" applyFill="1" applyBorder="1" applyAlignment="1" applyProtection="1">
      <alignment horizontal="center" vertical="center"/>
    </xf>
    <xf numFmtId="3" fontId="3" fillId="6" borderId="25" xfId="49" applyNumberFormat="1" applyFont="1" applyFill="1" applyBorder="1" applyAlignment="1" applyProtection="1">
      <alignment horizontal="center" vertical="center" shrinkToFit="1"/>
    </xf>
    <xf numFmtId="183" fontId="3" fillId="0" borderId="24" xfId="49" applyNumberFormat="1" applyFont="1" applyBorder="1" applyAlignment="1">
      <alignment horizontal="center" vertical="center"/>
      <protection locked="0"/>
    </xf>
    <xf numFmtId="3" fontId="13" fillId="0" borderId="24" xfId="49" applyNumberFormat="1" applyFont="1" applyBorder="1" applyAlignment="1" applyProtection="1">
      <alignment horizontal="center" vertical="center" shrinkToFit="1"/>
    </xf>
    <xf numFmtId="3" fontId="14" fillId="7" borderId="26" xfId="49" applyNumberFormat="1" applyFont="1" applyFill="1" applyBorder="1" applyAlignment="1" applyProtection="1">
      <alignment horizontal="center" vertical="center" shrinkToFit="1"/>
    </xf>
    <xf numFmtId="3" fontId="3" fillId="8" borderId="9" xfId="49" applyNumberFormat="1" applyFont="1" applyFill="1" applyBorder="1" applyAlignment="1" applyProtection="1">
      <alignment horizontal="center" vertical="center" shrinkToFit="1"/>
    </xf>
    <xf numFmtId="3" fontId="3" fillId="0" borderId="0" xfId="49" applyNumberFormat="1" applyFont="1" applyAlignment="1" applyProtection="1">
      <alignment horizontal="center" vertical="center" shrinkToFit="1"/>
    </xf>
    <xf numFmtId="0" fontId="3" fillId="0" borderId="0" xfId="49" applyFont="1" applyAlignment="1">
      <alignment horizontal="center" vertical="center"/>
      <protection locked="0"/>
    </xf>
    <xf numFmtId="0" fontId="21" fillId="0" borderId="0" xfId="0" applyFont="1" applyAlignment="1"/>
    <xf numFmtId="0" fontId="22" fillId="0" borderId="0" xfId="0" applyFont="1" applyAlignment="1">
      <alignment horizontal="center" vertical="center"/>
    </xf>
    <xf numFmtId="0" fontId="23" fillId="0" borderId="0" xfId="0" applyFont="1" applyAlignment="1"/>
    <xf numFmtId="0" fontId="23" fillId="0" borderId="0" xfId="0" applyFont="1" applyAlignment="1">
      <alignment horizontal="right" vertical="center"/>
    </xf>
    <xf numFmtId="0" fontId="23" fillId="0" borderId="0" xfId="0" applyFont="1" applyAlignment="1">
      <alignment horizontal="right"/>
    </xf>
    <xf numFmtId="186" fontId="21" fillId="7" borderId="0" xfId="0" applyNumberFormat="1" applyFont="1" applyFill="1" applyAlignment="1">
      <alignment horizontal="center" vertical="center"/>
    </xf>
    <xf numFmtId="0" fontId="24" fillId="0" borderId="27" xfId="0" applyFont="1" applyBorder="1" applyAlignment="1">
      <alignment horizontal="left" vertical="center"/>
    </xf>
    <xf numFmtId="0" fontId="24" fillId="0" borderId="28" xfId="0" applyFont="1" applyBorder="1" applyAlignment="1">
      <alignment horizontal="left" vertical="center"/>
    </xf>
    <xf numFmtId="0" fontId="24" fillId="0" borderId="1" xfId="0" applyFont="1" applyBorder="1" applyAlignment="1"/>
    <xf numFmtId="1" fontId="25" fillId="0" borderId="0" xfId="0" applyNumberFormat="1" applyFont="1" applyAlignment="1"/>
    <xf numFmtId="0" fontId="23" fillId="0" borderId="27" xfId="0" applyFont="1" applyBorder="1" applyAlignment="1">
      <alignment horizontal="left" vertical="center"/>
    </xf>
    <xf numFmtId="0" fontId="23" fillId="0" borderId="29" xfId="0" applyFont="1" applyBorder="1" applyAlignment="1">
      <alignment horizontal="left" vertical="center"/>
    </xf>
    <xf numFmtId="0" fontId="23" fillId="0" borderId="28" xfId="0" applyFont="1" applyBorder="1" applyAlignment="1">
      <alignment horizontal="left" vertical="center"/>
    </xf>
    <xf numFmtId="4" fontId="21" fillId="0" borderId="27" xfId="1" applyNumberFormat="1" applyFont="1" applyFill="1" applyBorder="1" applyAlignment="1" applyProtection="1">
      <alignment horizontal="left" vertical="center"/>
    </xf>
    <xf numFmtId="4" fontId="21" fillId="0" borderId="29" xfId="1" applyNumberFormat="1" applyFont="1" applyFill="1" applyBorder="1" applyAlignment="1" applyProtection="1">
      <alignment horizontal="left" vertical="center"/>
    </xf>
    <xf numFmtId="4" fontId="21" fillId="0" borderId="28" xfId="1" applyNumberFormat="1" applyFont="1" applyFill="1" applyBorder="1" applyAlignment="1" applyProtection="1">
      <alignment horizontal="left" vertical="center"/>
    </xf>
    <xf numFmtId="0" fontId="21" fillId="0" borderId="1" xfId="0" applyFont="1" applyBorder="1" applyAlignment="1">
      <alignment horizontal="left" vertical="center"/>
    </xf>
    <xf numFmtId="0" fontId="21" fillId="0" borderId="27" xfId="0" applyFont="1" applyBorder="1" applyAlignment="1">
      <alignment horizontal="left" vertical="center"/>
    </xf>
    <xf numFmtId="0" fontId="21" fillId="0" borderId="27" xfId="0" applyFont="1" applyBorder="1" applyAlignment="1">
      <alignment horizontal="center" vertical="center"/>
    </xf>
    <xf numFmtId="181" fontId="21" fillId="0" borderId="1" xfId="0" applyNumberFormat="1" applyFont="1" applyBorder="1" applyAlignment="1">
      <alignment horizontal="left" vertical="center"/>
    </xf>
    <xf numFmtId="0" fontId="21" fillId="0" borderId="29" xfId="0" applyFont="1" applyBorder="1" applyAlignment="1">
      <alignment horizontal="left" vertical="center"/>
    </xf>
    <xf numFmtId="0" fontId="21" fillId="0" borderId="28" xfId="0" applyFont="1" applyBorder="1" applyAlignment="1">
      <alignment horizontal="left" vertical="center"/>
    </xf>
    <xf numFmtId="0" fontId="22" fillId="0" borderId="27" xfId="0" applyFont="1" applyBorder="1" applyAlignment="1">
      <alignment horizontal="left" vertical="center"/>
    </xf>
    <xf numFmtId="0" fontId="22" fillId="0" borderId="29" xfId="0" applyFont="1" applyBorder="1" applyAlignment="1">
      <alignment horizontal="left" vertical="center"/>
    </xf>
    <xf numFmtId="0" fontId="22" fillId="0" borderId="28" xfId="0" applyFont="1" applyBorder="1" applyAlignment="1">
      <alignment horizontal="left" vertical="center"/>
    </xf>
    <xf numFmtId="181" fontId="23" fillId="13" borderId="1" xfId="0" applyNumberFormat="1" applyFont="1" applyFill="1" applyBorder="1" applyAlignment="1">
      <alignment horizontal="left" vertical="center"/>
    </xf>
    <xf numFmtId="181" fontId="23" fillId="13" borderId="1" xfId="0" applyNumberFormat="1" applyFont="1" applyFill="1" applyBorder="1" applyAlignment="1">
      <alignment horizontal="center" vertical="center"/>
    </xf>
    <xf numFmtId="181" fontId="23" fillId="13" borderId="27" xfId="0" applyNumberFormat="1" applyFont="1" applyFill="1" applyBorder="1" applyAlignment="1">
      <alignment horizontal="center" vertical="center"/>
    </xf>
    <xf numFmtId="181" fontId="21" fillId="13" borderId="1" xfId="0" applyNumberFormat="1" applyFont="1" applyFill="1" applyBorder="1" applyAlignment="1">
      <alignment horizontal="left" vertical="center"/>
    </xf>
    <xf numFmtId="181" fontId="21" fillId="14" borderId="27" xfId="0" applyNumberFormat="1" applyFont="1" applyFill="1" applyBorder="1" applyAlignment="1">
      <alignment horizontal="right" vertical="center"/>
    </xf>
    <xf numFmtId="0" fontId="21" fillId="0" borderId="0" xfId="0" applyFont="1" applyAlignment="1">
      <alignment horizontal="left" vertical="center"/>
    </xf>
    <xf numFmtId="181" fontId="22" fillId="15" borderId="0" xfId="1" applyNumberFormat="1" applyFont="1" applyFill="1" applyBorder="1" applyAlignment="1" applyProtection="1">
      <alignment horizontal="left" vertical="center"/>
    </xf>
    <xf numFmtId="181" fontId="22" fillId="0" borderId="0" xfId="1" applyNumberFormat="1" applyFont="1" applyFill="1" applyBorder="1" applyAlignment="1" applyProtection="1">
      <alignment horizontal="left" vertical="center"/>
    </xf>
    <xf numFmtId="0" fontId="23" fillId="16" borderId="30" xfId="0" applyFont="1" applyFill="1" applyBorder="1" applyAlignment="1"/>
    <xf numFmtId="0" fontId="23" fillId="16" borderId="31" xfId="0" applyFont="1" applyFill="1" applyBorder="1" applyAlignment="1">
      <alignment horizontal="center"/>
    </xf>
    <xf numFmtId="0" fontId="23" fillId="16" borderId="32" xfId="0" applyFont="1" applyFill="1" applyBorder="1" applyAlignment="1">
      <alignment horizontal="center"/>
    </xf>
    <xf numFmtId="9" fontId="23" fillId="16" borderId="33" xfId="0" applyNumberFormat="1" applyFont="1" applyFill="1" applyBorder="1" applyAlignment="1">
      <alignment horizontal="center" vertical="center"/>
    </xf>
    <xf numFmtId="0" fontId="26" fillId="0" borderId="30" xfId="0" applyFont="1" applyBorder="1" applyAlignment="1"/>
    <xf numFmtId="0" fontId="21" fillId="0" borderId="30" xfId="0" applyFont="1" applyBorder="1" applyAlignment="1"/>
    <xf numFmtId="1" fontId="27" fillId="0" borderId="30" xfId="1" applyNumberFormat="1" applyFont="1" applyBorder="1" applyAlignment="1" applyProtection="1">
      <alignment horizontal="center"/>
    </xf>
    <xf numFmtId="1" fontId="21" fillId="0" borderId="30" xfId="0" applyNumberFormat="1" applyFont="1" applyBorder="1" applyAlignment="1">
      <alignment horizontal="center"/>
    </xf>
    <xf numFmtId="181" fontId="21" fillId="17" borderId="33" xfId="0" applyNumberFormat="1" applyFont="1" applyFill="1" applyBorder="1" applyAlignment="1">
      <alignment horizontal="center"/>
    </xf>
    <xf numFmtId="181" fontId="21" fillId="17" borderId="34" xfId="0" applyNumberFormat="1" applyFont="1" applyFill="1" applyBorder="1" applyAlignment="1">
      <alignment horizontal="center"/>
    </xf>
    <xf numFmtId="3" fontId="24" fillId="0" borderId="33" xfId="0" applyNumberFormat="1" applyFont="1" applyBorder="1" applyAlignment="1">
      <alignment horizontal="right" vertical="center"/>
    </xf>
    <xf numFmtId="3" fontId="24" fillId="17" borderId="33" xfId="0" applyNumberFormat="1" applyFont="1" applyFill="1" applyBorder="1" applyAlignment="1">
      <alignment horizontal="right" vertical="center"/>
    </xf>
    <xf numFmtId="0" fontId="21" fillId="13" borderId="0" xfId="0" applyFont="1" applyFill="1" applyAlignment="1">
      <alignment horizontal="right" vertical="center" wrapText="1"/>
    </xf>
    <xf numFmtId="0" fontId="21" fillId="13" borderId="2" xfId="0" applyFont="1" applyFill="1" applyBorder="1" applyAlignment="1">
      <alignment horizontal="right" vertical="center" wrapText="1"/>
    </xf>
    <xf numFmtId="10" fontId="21" fillId="0" borderId="1" xfId="0" applyNumberFormat="1" applyFont="1" applyBorder="1" applyAlignment="1">
      <alignment horizontal="center" vertical="center"/>
    </xf>
    <xf numFmtId="0" fontId="21" fillId="13" borderId="35" xfId="0" applyFont="1" applyFill="1" applyBorder="1" applyAlignment="1">
      <alignment horizontal="right" vertical="center" wrapText="1"/>
    </xf>
    <xf numFmtId="9" fontId="23" fillId="12" borderId="36" xfId="0" applyNumberFormat="1" applyFont="1" applyFill="1" applyBorder="1" applyAlignment="1">
      <alignment horizontal="center" vertical="center"/>
    </xf>
    <xf numFmtId="0" fontId="21" fillId="0" borderId="28" xfId="0" applyFont="1" applyBorder="1" applyAlignment="1">
      <alignment horizontal="center" vertical="center"/>
    </xf>
    <xf numFmtId="2" fontId="21" fillId="0" borderId="1" xfId="0" applyNumberFormat="1" applyFont="1" applyBorder="1" applyAlignment="1">
      <alignment horizontal="left" vertical="center"/>
    </xf>
    <xf numFmtId="181" fontId="23" fillId="13" borderId="28" xfId="0" applyNumberFormat="1" applyFont="1" applyFill="1" applyBorder="1" applyAlignment="1">
      <alignment horizontal="center" vertical="center"/>
    </xf>
    <xf numFmtId="0" fontId="23" fillId="13" borderId="1" xfId="0" applyFont="1" applyFill="1" applyBorder="1" applyAlignment="1">
      <alignment horizontal="center"/>
    </xf>
    <xf numFmtId="181" fontId="21" fillId="14" borderId="28" xfId="0" applyNumberFormat="1" applyFont="1" applyFill="1" applyBorder="1" applyAlignment="1">
      <alignment horizontal="right" vertical="center"/>
    </xf>
    <xf numFmtId="181" fontId="28" fillId="13" borderId="1" xfId="0" applyNumberFormat="1" applyFont="1" applyFill="1" applyBorder="1" applyAlignment="1"/>
    <xf numFmtId="181" fontId="28" fillId="0" borderId="0" xfId="0" applyNumberFormat="1" applyFont="1" applyAlignment="1"/>
    <xf numFmtId="0" fontId="28" fillId="0" borderId="0" xfId="0" applyFont="1" applyAlignment="1"/>
    <xf numFmtId="9" fontId="23" fillId="16" borderId="34" xfId="0" applyNumberFormat="1" applyFont="1" applyFill="1" applyBorder="1" applyAlignment="1">
      <alignment horizontal="center" vertical="center"/>
    </xf>
    <xf numFmtId="9" fontId="23" fillId="16" borderId="30" xfId="0" applyNumberFormat="1" applyFont="1" applyFill="1" applyBorder="1" applyAlignment="1">
      <alignment horizontal="center" vertical="center"/>
    </xf>
    <xf numFmtId="3" fontId="24" fillId="0" borderId="34" xfId="0" applyNumberFormat="1" applyFont="1" applyBorder="1" applyAlignment="1">
      <alignment horizontal="right" vertical="center"/>
    </xf>
    <xf numFmtId="3" fontId="24" fillId="0" borderId="30" xfId="0" applyNumberFormat="1" applyFont="1" applyBorder="1" applyAlignment="1"/>
    <xf numFmtId="3" fontId="24" fillId="17" borderId="30" xfId="0" applyNumberFormat="1" applyFont="1" applyFill="1" applyBorder="1" applyAlignment="1"/>
    <xf numFmtId="3" fontId="24" fillId="17" borderId="34" xfId="0" applyNumberFormat="1" applyFont="1" applyFill="1" applyBorder="1" applyAlignment="1">
      <alignment horizontal="right" vertical="center"/>
    </xf>
    <xf numFmtId="3" fontId="24" fillId="0" borderId="0" xfId="0" applyNumberFormat="1" applyFont="1" applyAlignment="1"/>
    <xf numFmtId="0" fontId="23" fillId="0" borderId="0" xfId="0" applyFont="1">
      <alignment vertical="center"/>
    </xf>
    <xf numFmtId="0" fontId="23" fillId="18" borderId="0" xfId="0" applyFont="1" applyFill="1" applyAlignment="1">
      <alignment horizontal="center" vertical="center"/>
    </xf>
    <xf numFmtId="0" fontId="23" fillId="0" borderId="37" xfId="0" applyFont="1" applyBorder="1" applyAlignment="1">
      <alignment horizontal="center" vertical="center"/>
    </xf>
    <xf numFmtId="176" fontId="23" fillId="0" borderId="0" xfId="1" applyFont="1" applyBorder="1" applyAlignment="1" applyProtection="1">
      <alignment horizontal="center" vertical="center" wrapText="1"/>
    </xf>
    <xf numFmtId="0" fontId="21" fillId="0" borderId="0" xfId="0" applyFont="1" applyAlignment="1">
      <alignment horizontal="center"/>
    </xf>
    <xf numFmtId="9" fontId="21" fillId="0" borderId="0" xfId="0" applyNumberFormat="1" applyFont="1" applyAlignment="1"/>
    <xf numFmtId="176" fontId="21" fillId="0" borderId="0" xfId="1" applyFont="1" applyAlignment="1" applyProtection="1"/>
    <xf numFmtId="176" fontId="21" fillId="0" borderId="0" xfId="1" applyFont="1" applyAlignment="1" applyProtection="1">
      <alignment horizontal="center"/>
    </xf>
    <xf numFmtId="9" fontId="21" fillId="0" borderId="0" xfId="3" applyFont="1" applyAlignment="1" applyProtection="1"/>
    <xf numFmtId="9" fontId="21" fillId="0" borderId="0" xfId="3" applyFont="1" applyAlignment="1" applyProtection="1">
      <alignment horizontal="center"/>
    </xf>
    <xf numFmtId="0" fontId="23" fillId="0" borderId="35" xfId="0" applyFont="1" applyBorder="1" applyAlignment="1">
      <alignment horizontal="center"/>
    </xf>
    <xf numFmtId="176" fontId="23" fillId="0" borderId="0" xfId="1" applyFont="1" applyBorder="1" applyAlignment="1" applyProtection="1">
      <alignment horizontal="center"/>
    </xf>
    <xf numFmtId="0" fontId="23" fillId="0" borderId="38" xfId="0" applyFont="1" applyBorder="1" applyAlignment="1">
      <alignment horizontal="center"/>
    </xf>
    <xf numFmtId="0" fontId="23" fillId="0" borderId="39" xfId="0" applyFont="1" applyBorder="1" applyAlignment="1">
      <alignment horizontal="center" vertical="center"/>
    </xf>
    <xf numFmtId="0" fontId="23" fillId="0" borderId="21" xfId="0" applyFont="1" applyBorder="1" applyAlignment="1">
      <alignment horizontal="right"/>
    </xf>
    <xf numFmtId="176" fontId="23" fillId="0" borderId="21" xfId="1" applyFont="1" applyBorder="1" applyAlignment="1" applyProtection="1">
      <alignment horizontal="center"/>
    </xf>
    <xf numFmtId="0" fontId="21" fillId="0" borderId="0" xfId="0" applyFont="1">
      <alignment vertical="center"/>
    </xf>
    <xf numFmtId="3" fontId="21" fillId="0" borderId="0" xfId="0" applyNumberFormat="1" applyFont="1" applyAlignment="1">
      <alignment horizontal="right"/>
    </xf>
    <xf numFmtId="3" fontId="21" fillId="8" borderId="0" xfId="0" applyNumberFormat="1" applyFont="1" applyFill="1" applyAlignment="1"/>
    <xf numFmtId="3" fontId="21" fillId="15" borderId="0" xfId="0" applyNumberFormat="1" applyFont="1" applyFill="1" applyAlignment="1"/>
    <xf numFmtId="187" fontId="21" fillId="0" borderId="0" xfId="1" applyNumberFormat="1" applyFont="1" applyAlignment="1" applyProtection="1"/>
    <xf numFmtId="3" fontId="21" fillId="6" borderId="0" xfId="0" applyNumberFormat="1" applyFont="1" applyFill="1" applyAlignment="1"/>
    <xf numFmtId="0" fontId="26" fillId="0" borderId="0" xfId="0" applyFont="1" applyAlignment="1"/>
    <xf numFmtId="1" fontId="27" fillId="0" borderId="0" xfId="1" applyNumberFormat="1" applyFont="1" applyAlignment="1" applyProtection="1">
      <alignment horizontal="center"/>
    </xf>
    <xf numFmtId="1" fontId="21" fillId="0" borderId="0" xfId="0" applyNumberFormat="1" applyFont="1" applyAlignment="1">
      <alignment horizontal="center"/>
    </xf>
    <xf numFmtId="188" fontId="26" fillId="17" borderId="0" xfId="0" applyNumberFormat="1" applyFont="1" applyFill="1" applyAlignment="1"/>
    <xf numFmtId="189" fontId="21" fillId="0" borderId="0" xfId="0" applyNumberFormat="1" applyFont="1" applyAlignment="1"/>
    <xf numFmtId="9" fontId="21" fillId="0" borderId="0" xfId="0" applyNumberFormat="1" applyFont="1" applyAlignment="1">
      <alignment horizontal="center"/>
    </xf>
    <xf numFmtId="187" fontId="21" fillId="0" borderId="0" xfId="1" applyNumberFormat="1" applyFont="1" applyAlignment="1" applyProtection="1">
      <alignment horizontal="center"/>
    </xf>
    <xf numFmtId="3" fontId="24" fillId="17" borderId="0" xfId="0" applyNumberFormat="1" applyFont="1" applyFill="1" applyAlignment="1"/>
    <xf numFmtId="3" fontId="21" fillId="0" borderId="0" xfId="0" applyNumberFormat="1" applyFont="1" applyAlignment="1"/>
    <xf numFmtId="0" fontId="29" fillId="0" borderId="0" xfId="0" applyFont="1" applyAlignment="1"/>
    <xf numFmtId="9" fontId="29" fillId="0" borderId="0" xfId="3" applyFont="1" applyAlignment="1" applyProtection="1">
      <alignment horizontal="left"/>
    </xf>
    <xf numFmtId="187" fontId="29" fillId="0" borderId="0" xfId="1" applyNumberFormat="1" applyFont="1" applyAlignment="1" applyProtection="1">
      <alignment horizontal="left"/>
    </xf>
    <xf numFmtId="176" fontId="29" fillId="0" borderId="0" xfId="1" applyFont="1" applyAlignment="1" applyProtection="1">
      <alignment horizontal="left"/>
    </xf>
    <xf numFmtId="9" fontId="29" fillId="0" borderId="0" xfId="0" applyNumberFormat="1" applyFont="1" applyAlignment="1">
      <alignment horizontal="left"/>
    </xf>
    <xf numFmtId="9" fontId="30" fillId="0" borderId="0" xfId="3" applyFont="1" applyAlignment="1" applyProtection="1">
      <alignment horizontal="left"/>
    </xf>
    <xf numFmtId="9" fontId="29" fillId="0" borderId="0" xfId="3" applyFont="1" applyAlignment="1" applyProtection="1"/>
    <xf numFmtId="9" fontId="29" fillId="0" borderId="0" xfId="0" applyNumberFormat="1" applyFont="1" applyAlignment="1"/>
    <xf numFmtId="0" fontId="31" fillId="16" borderId="0" xfId="0" applyFont="1" applyFill="1" applyAlignment="1"/>
    <xf numFmtId="9" fontId="31" fillId="16" borderId="0" xfId="0" applyNumberFormat="1" applyFont="1" applyFill="1" applyAlignment="1"/>
    <xf numFmtId="187" fontId="29" fillId="0" borderId="0" xfId="1" applyNumberFormat="1" applyFont="1" applyFill="1" applyAlignment="1" applyProtection="1"/>
    <xf numFmtId="3" fontId="29" fillId="0" borderId="0" xfId="0" applyNumberFormat="1" applyFont="1" applyAlignment="1"/>
    <xf numFmtId="187" fontId="32" fillId="0" borderId="0" xfId="1" applyNumberFormat="1" applyFont="1" applyFill="1" applyAlignment="1" applyProtection="1"/>
    <xf numFmtId="3" fontId="32" fillId="0" borderId="0" xfId="0" applyNumberFormat="1" applyFont="1" applyAlignment="1"/>
    <xf numFmtId="189" fontId="29" fillId="0" borderId="0" xfId="0" applyNumberFormat="1" applyFont="1" applyAlignment="1"/>
    <xf numFmtId="0" fontId="29" fillId="16" borderId="0" xfId="0" applyFont="1" applyFill="1" applyAlignment="1"/>
    <xf numFmtId="0" fontId="29" fillId="0" borderId="0" xfId="0" applyFont="1">
      <alignment vertical="center"/>
    </xf>
    <xf numFmtId="0" fontId="1" fillId="0" borderId="0" xfId="0" applyFont="1">
      <alignment vertical="center"/>
    </xf>
    <xf numFmtId="0" fontId="29" fillId="0" borderId="40" xfId="0" applyFont="1" applyBorder="1">
      <alignment vertical="center"/>
    </xf>
    <xf numFmtId="0" fontId="21" fillId="17" borderId="41" xfId="0" applyFont="1" applyFill="1" applyBorder="1">
      <alignment vertical="center"/>
    </xf>
    <xf numFmtId="0" fontId="21" fillId="19" borderId="42" xfId="0" applyFont="1" applyFill="1" applyBorder="1">
      <alignment vertical="center"/>
    </xf>
    <xf numFmtId="0" fontId="33" fillId="0" borderId="0" xfId="0" applyFont="1" applyAlignment="1">
      <alignment horizontal="left" vertical="center"/>
    </xf>
    <xf numFmtId="0" fontId="2" fillId="0" borderId="0" xfId="0" applyFont="1">
      <alignment vertical="center"/>
    </xf>
    <xf numFmtId="0" fontId="31" fillId="0" borderId="0" xfId="0" applyFont="1">
      <alignment vertical="center"/>
    </xf>
    <xf numFmtId="0" fontId="34" fillId="20" borderId="0" xfId="0" applyFont="1" applyFill="1">
      <alignment vertical="center"/>
    </xf>
    <xf numFmtId="0" fontId="2" fillId="0" borderId="20" xfId="0" applyFont="1" applyBorder="1">
      <alignment vertical="center"/>
    </xf>
    <xf numFmtId="0" fontId="21" fillId="21" borderId="43" xfId="0" applyFont="1" applyFill="1" applyBorder="1" applyAlignment="1">
      <alignment horizontal="right" vertical="center"/>
    </xf>
    <xf numFmtId="0" fontId="21" fillId="21" borderId="44" xfId="0" applyFont="1" applyFill="1" applyBorder="1" applyAlignment="1">
      <alignment horizontal="right" vertical="center"/>
    </xf>
    <xf numFmtId="0" fontId="21" fillId="21" borderId="45" xfId="0" applyFont="1" applyFill="1" applyBorder="1" applyAlignment="1">
      <alignment horizontal="right" vertical="center"/>
    </xf>
    <xf numFmtId="0" fontId="2" fillId="0" borderId="29" xfId="0" applyFont="1" applyBorder="1">
      <alignment vertical="center"/>
    </xf>
    <xf numFmtId="0" fontId="33" fillId="0" borderId="0" xfId="0" applyFont="1">
      <alignment vertical="center"/>
    </xf>
    <xf numFmtId="0" fontId="21" fillId="19" borderId="44" xfId="0" applyFont="1" applyFill="1" applyBorder="1" applyAlignment="1">
      <alignment horizontal="right" vertical="center"/>
    </xf>
    <xf numFmtId="0" fontId="21" fillId="22" borderId="43" xfId="0" applyFont="1" applyFill="1" applyBorder="1" applyAlignment="1">
      <alignment horizontal="right" vertical="center"/>
    </xf>
    <xf numFmtId="0" fontId="21" fillId="22" borderId="44" xfId="0" applyFont="1" applyFill="1" applyBorder="1" applyAlignment="1">
      <alignment horizontal="right" vertical="center"/>
    </xf>
    <xf numFmtId="0" fontId="21" fillId="22" borderId="45" xfId="0" applyFont="1" applyFill="1" applyBorder="1" applyAlignment="1">
      <alignment horizontal="right" vertical="center"/>
    </xf>
    <xf numFmtId="0" fontId="31" fillId="0" borderId="0" xfId="0" applyFont="1" applyAlignment="1">
      <alignment horizontal="right" vertical="center"/>
    </xf>
    <xf numFmtId="181" fontId="21" fillId="21" borderId="43" xfId="0" applyNumberFormat="1" applyFont="1" applyFill="1" applyBorder="1" applyAlignment="1">
      <alignment horizontal="right" vertical="center"/>
    </xf>
    <xf numFmtId="181" fontId="21" fillId="21" borderId="44" xfId="0" applyNumberFormat="1" applyFont="1" applyFill="1" applyBorder="1" applyAlignment="1">
      <alignment horizontal="right" vertical="center"/>
    </xf>
    <xf numFmtId="181" fontId="21" fillId="21" borderId="45" xfId="0" applyNumberFormat="1" applyFont="1" applyFill="1" applyBorder="1" applyAlignment="1">
      <alignment horizontal="right" vertical="center"/>
    </xf>
    <xf numFmtId="189" fontId="31" fillId="0" borderId="0" xfId="0" applyNumberFormat="1" applyFont="1" applyAlignment="1">
      <alignment horizontal="right" vertical="center"/>
    </xf>
    <xf numFmtId="190" fontId="21" fillId="22" borderId="43" xfId="0" applyNumberFormat="1" applyFont="1" applyFill="1" applyBorder="1" applyAlignment="1">
      <alignment horizontal="right" vertical="center"/>
    </xf>
    <xf numFmtId="190" fontId="21" fillId="22" borderId="44" xfId="0" applyNumberFormat="1" applyFont="1" applyFill="1" applyBorder="1" applyAlignment="1">
      <alignment horizontal="right" vertical="center"/>
    </xf>
    <xf numFmtId="190" fontId="21" fillId="22" borderId="45" xfId="0" applyNumberFormat="1" applyFont="1" applyFill="1" applyBorder="1" applyAlignment="1">
      <alignment horizontal="right" vertical="center"/>
    </xf>
    <xf numFmtId="0" fontId="35" fillId="0" borderId="46" xfId="0" applyFont="1" applyBorder="1">
      <alignment vertical="center"/>
    </xf>
    <xf numFmtId="189" fontId="36" fillId="0" borderId="0" xfId="0" applyNumberFormat="1" applyFont="1" applyAlignment="1">
      <alignment horizontal="right" vertical="center"/>
    </xf>
    <xf numFmtId="0" fontId="37" fillId="0" borderId="20" xfId="0" applyFont="1" applyBorder="1" applyAlignment="1">
      <alignment horizontal="right" vertical="center"/>
    </xf>
    <xf numFmtId="181" fontId="38" fillId="0" borderId="47" xfId="0" applyNumberFormat="1" applyFont="1" applyBorder="1">
      <alignment vertical="center"/>
    </xf>
    <xf numFmtId="181" fontId="21" fillId="0" borderId="0" xfId="0" applyNumberFormat="1" applyFont="1" applyAlignment="1">
      <alignment horizontal="right" vertical="center"/>
    </xf>
    <xf numFmtId="0" fontId="36" fillId="0" borderId="0" xfId="0" applyFont="1" applyAlignment="1">
      <alignment horizontal="right" vertical="center"/>
    </xf>
    <xf numFmtId="189" fontId="33" fillId="0" borderId="0" xfId="0" applyNumberFormat="1" applyFont="1" applyAlignment="1">
      <alignment horizontal="left" vertical="center"/>
    </xf>
    <xf numFmtId="0" fontId="29" fillId="0" borderId="46" xfId="0" applyFont="1" applyBorder="1" applyAlignment="1"/>
    <xf numFmtId="186" fontId="39" fillId="0" borderId="0" xfId="0" applyNumberFormat="1" applyFont="1">
      <alignment vertical="center"/>
    </xf>
    <xf numFmtId="0" fontId="29" fillId="0" borderId="0" xfId="0" applyFont="1" applyAlignment="1">
      <alignment horizontal="right" vertical="center"/>
    </xf>
    <xf numFmtId="0" fontId="21" fillId="21" borderId="48" xfId="0" applyFont="1" applyFill="1" applyBorder="1">
      <alignment vertical="center"/>
    </xf>
    <xf numFmtId="0" fontId="29" fillId="0" borderId="0" xfId="0" applyFont="1" applyAlignment="1">
      <alignment horizontal="center" vertical="center"/>
    </xf>
    <xf numFmtId="0" fontId="29" fillId="0" borderId="0" xfId="0" applyFont="1" applyAlignment="1">
      <alignment horizontal="right" vertical="center" wrapText="1"/>
    </xf>
    <xf numFmtId="181" fontId="40" fillId="19" borderId="41" xfId="0" applyNumberFormat="1" applyFont="1" applyFill="1" applyBorder="1">
      <alignment vertical="center"/>
    </xf>
    <xf numFmtId="0" fontId="31" fillId="21" borderId="0" xfId="0" applyFont="1" applyFill="1" applyAlignment="1">
      <alignment horizontal="right" vertical="center"/>
    </xf>
    <xf numFmtId="9" fontId="21" fillId="21" borderId="48" xfId="0" applyNumberFormat="1" applyFont="1" applyFill="1" applyBorder="1">
      <alignment vertical="center"/>
    </xf>
    <xf numFmtId="181" fontId="21" fillId="23" borderId="43" xfId="0" applyNumberFormat="1" applyFont="1" applyFill="1" applyBorder="1" applyAlignment="1">
      <alignment horizontal="right" vertical="center"/>
    </xf>
    <xf numFmtId="181" fontId="21" fillId="23" borderId="44" xfId="0" applyNumberFormat="1" applyFont="1" applyFill="1" applyBorder="1" applyAlignment="1">
      <alignment horizontal="right" vertical="center"/>
    </xf>
    <xf numFmtId="0" fontId="28" fillId="0" borderId="0" xfId="0" applyFont="1">
      <alignment vertical="center"/>
    </xf>
    <xf numFmtId="10" fontId="21" fillId="21" borderId="48" xfId="0" applyNumberFormat="1" applyFont="1" applyFill="1" applyBorder="1">
      <alignment vertical="center"/>
    </xf>
    <xf numFmtId="181" fontId="38" fillId="19" borderId="49" xfId="0" applyNumberFormat="1" applyFont="1" applyFill="1" applyBorder="1">
      <alignment vertical="center"/>
    </xf>
    <xf numFmtId="0" fontId="36" fillId="0" borderId="0" xfId="0" applyFont="1">
      <alignment vertical="center"/>
    </xf>
    <xf numFmtId="189" fontId="29" fillId="0" borderId="0" xfId="0" applyNumberFormat="1" applyFont="1">
      <alignment vertical="center"/>
    </xf>
    <xf numFmtId="9" fontId="29" fillId="0" borderId="0" xfId="3" applyFont="1" applyAlignment="1" applyProtection="1">
      <alignment horizontal="left" vertical="center"/>
    </xf>
    <xf numFmtId="187" fontId="29" fillId="0" borderId="0" xfId="1" applyNumberFormat="1" applyFont="1" applyAlignment="1" applyProtection="1"/>
    <xf numFmtId="181" fontId="29" fillId="0" borderId="0" xfId="0" applyNumberFormat="1" applyFont="1" applyAlignment="1"/>
    <xf numFmtId="0" fontId="21" fillId="21" borderId="43" xfId="0" applyFont="1" applyFill="1" applyBorder="1" applyAlignment="1" quotePrefix="1">
      <alignment horizontal="right" vertical="center"/>
    </xf>
    <xf numFmtId="0" fontId="21" fillId="21" borderId="44" xfId="0" applyFont="1" applyFill="1" applyBorder="1" applyAlignment="1" quotePrefix="1">
      <alignment horizontal="right" vertical="center"/>
    </xf>
    <xf numFmtId="0" fontId="5" fillId="0" borderId="0" xfId="49" applyFont="1" applyAlignment="1" quotePrefix="1">
      <alignment horizontal="right" vertical="center"/>
      <protection locked="0"/>
    </xf>
    <xf numFmtId="49" fontId="5" fillId="0" borderId="0" xfId="49" applyNumberFormat="1" applyFont="1" applyAlignment="1" quotePrefix="1">
      <alignment horizontal="right" vertical="center"/>
      <protection locked="0"/>
    </xf>
    <xf numFmtId="0" fontId="7" fillId="0" borderId="0" xfId="49" applyFont="1" applyAlignment="1" quotePrefix="1">
      <alignment horizontal="right" vertical="center"/>
      <protection locked="0"/>
    </xf>
  </cellXfs>
  <cellStyles count="53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Normal 2" xfId="49"/>
    <cellStyle name="Currency 2" xfId="50"/>
    <cellStyle name="Hyperlink 2" xfId="51"/>
    <cellStyle name="Comma 2" xfId="52"/>
  </cellStyles>
  <dxfs count="11">
    <dxf>
      <font>
        <color rgb="FFFF0000"/>
      </font>
      <fill>
        <patternFill patternType="solid">
          <bgColor rgb="FFFBE4D5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b val="1"/>
        <color rgb="FFFFFFFF"/>
      </font>
      <fill>
        <patternFill patternType="solid">
          <bgColor rgb="FF435369"/>
        </patternFill>
      </fill>
    </dxf>
    <dxf>
      <font>
        <color rgb="FF000000"/>
      </font>
      <fill>
        <patternFill patternType="solid">
          <bgColor rgb="FFFFFFFF"/>
        </patternFill>
      </fill>
      <border>
        <left style="thin">
          <color rgb="FFE6E4E4"/>
        </left>
        <right style="thin">
          <color rgb="FFE6E4E4"/>
        </right>
        <top style="thin">
          <color rgb="FFE6E4E4"/>
        </top>
        <bottom style="thin">
          <color rgb="FFE6E4E4"/>
        </bottom>
      </border>
    </dxf>
    <dxf>
      <font>
        <b val="1"/>
        <color rgb="FFFF0000"/>
      </font>
      <fill>
        <patternFill patternType="solid">
          <bgColor rgb="FFFFFF0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b val="1"/>
      </font>
      <fill>
        <patternFill patternType="solid">
          <bgColor rgb="FFFFCCFF"/>
        </patternFill>
      </fill>
    </dxf>
    <dxf>
      <fill>
        <patternFill patternType="solid">
          <bgColor rgb="FFFFF2CB"/>
        </patternFill>
      </fill>
    </dxf>
    <dxf>
      <font>
        <b val="1"/>
        <color rgb="FF00B050"/>
      </font>
      <fill>
        <patternFill patternType="solid">
          <bgColor rgb="FFCCFFCC"/>
        </patternFill>
      </fill>
    </dxf>
    <dxf>
      <font>
        <b val="1"/>
        <color rgb="FF00B050"/>
      </font>
    </dxf>
    <dxf>
      <font>
        <color rgb="FF9C0006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theme" Target="theme/theme1.xml"/><Relationship Id="rId7" Type="http://schemas.openxmlformats.org/officeDocument/2006/relationships/externalLink" Target="externalLinks/externalLink1.xml"/><Relationship Id="rId6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MY"/>
              <a:t>DISPOSAL</a:t>
            </a:r>
            <a:r>
              <a:rPr lang="en-MY" baseline="0"/>
              <a:t> OF INVESTMENT (RETIREMENT)</a:t>
            </a:r>
            <a:endParaRPr lang="en-MY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'DISPOSAL OF INVESTED'!$C$32</c:f>
              <c:strCache>
                <c:ptCount val="1"/>
                <c:pt idx="0">
                  <c:v>Age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'DISPOSAL OF INVESTED'!$C$36:$C$64</c:f>
              <c:numCache>
                <c:formatCode>General</c:formatCode>
                <c:ptCount val="29"/>
                <c:pt idx="0">
                  <c:v>61</c:v>
                </c:pt>
                <c:pt idx="1">
                  <c:v>62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</c:numCache>
            </c:numRef>
          </c:cat>
          <c:val>
            <c:numRef>
              <c:f>'DISPOSAL OF INVESTED'!$C$36:$C$64</c:f>
              <c:numCache>
                <c:formatCode>General</c:formatCode>
                <c:ptCount val="29"/>
                <c:pt idx="0">
                  <c:v>61</c:v>
                </c:pt>
                <c:pt idx="1">
                  <c:v>62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'DISPOSAL OF INVESTED'!$D$32</c:f>
              <c:strCache>
                <c:ptCount val="1"/>
                <c:pt idx="0">
                  <c:v>* Beginning Balance</c:v>
                </c:pt>
              </c:strCache>
            </c:strRef>
          </c:tx>
          <c:spPr>
            <a:ln w="28575" cap="rnd">
              <a:solidFill>
                <a:srgbClr val="FF99FF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'DISPOSAL OF INVESTED'!$C$36:$C$64</c:f>
              <c:numCache>
                <c:formatCode>General</c:formatCode>
                <c:ptCount val="29"/>
                <c:pt idx="0">
                  <c:v>61</c:v>
                </c:pt>
                <c:pt idx="1">
                  <c:v>62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</c:numCache>
            </c:numRef>
          </c:cat>
          <c:val>
            <c:numRef>
              <c:f>'DISPOSAL OF INVESTED'!$D$37:$D$64</c:f>
              <c:numCache>
                <c:formatCode>#,##0</c:formatCode>
                <c:ptCount val="2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'DISPOSAL OF INVESTED'!$G$32</c:f>
              <c:strCache>
                <c:ptCount val="1"/>
                <c:pt idx="0">
                  <c:v>Post Retirement Return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'DISPOSAL OF INVESTED'!$C$36:$C$64</c:f>
              <c:numCache>
                <c:formatCode>General</c:formatCode>
                <c:ptCount val="29"/>
                <c:pt idx="0">
                  <c:v>61</c:v>
                </c:pt>
                <c:pt idx="1">
                  <c:v>62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</c:numCache>
            </c:numRef>
          </c:cat>
          <c:val>
            <c:numRef>
              <c:f>'DISPOSAL OF INVESTED'!$G$37:$G$64</c:f>
              <c:numCache>
                <c:formatCode>#,##0</c:formatCode>
                <c:ptCount val="2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'DISPOSAL OF INVESTED'!$H$32</c:f>
              <c:strCache>
                <c:ptCount val="1"/>
                <c:pt idx="0">
                  <c:v>Year End Balance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'DISPOSAL OF INVESTED'!$C$36:$C$64</c:f>
              <c:numCache>
                <c:formatCode>General</c:formatCode>
                <c:ptCount val="29"/>
                <c:pt idx="0">
                  <c:v>61</c:v>
                </c:pt>
                <c:pt idx="1">
                  <c:v>62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</c:numCache>
            </c:numRef>
          </c:cat>
          <c:val>
            <c:numRef>
              <c:f>'DISPOSAL OF INVESTED'!$H$37:$H$64</c:f>
              <c:numCache>
                <c:formatCode>#,##0</c:formatCode>
                <c:ptCount val="2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upDownBars>
          <c:gapWidth val="150"/>
          <c:upBars>
            <c:spPr>
              <a:solidFill>
                <a:schemeClr val="lt1"/>
              </a:solidFill>
              <a:ln w="9525">
                <a:gradFill>
                  <a:gsLst>
                    <a:gs pos="0">
                      <a:schemeClr val="accent1">
                        <a:lumMod val="5000"/>
                        <a:lumOff val="95000"/>
                      </a:schemeClr>
                    </a:gs>
                    <a:gs pos="74000">
                      <a:schemeClr val="accent1">
                        <a:lumMod val="45000"/>
                        <a:lumOff val="55000"/>
                      </a:schemeClr>
                    </a:gs>
                    <a:gs pos="83000">
                      <a:schemeClr val="accent1">
                        <a:lumMod val="45000"/>
                        <a:lumOff val="55000"/>
                      </a:schemeClr>
                    </a:gs>
                    <a:gs pos="100000">
                      <a:schemeClr val="accent1">
                        <a:lumMod val="30000"/>
                        <a:lumOff val="70000"/>
                      </a:schemeClr>
                    </a:gs>
                  </a:gsLst>
                  <a:lin ang="5400000" scaled="1"/>
                </a:gradFill>
              </a:ln>
              <a:effectLst/>
            </c:spPr>
          </c:upBars>
          <c:downBars>
            <c:spPr>
              <a:solidFill>
                <a:schemeClr val="dk1">
                  <a:lumMod val="65000"/>
                  <a:lumOff val="35000"/>
                </a:schemeClr>
              </a:solidFill>
              <a:ln w="9525">
                <a:solidFill>
                  <a:schemeClr val="tx1">
                    <a:lumMod val="65000"/>
                    <a:lumOff val="35000"/>
                  </a:schemeClr>
                </a:solidFill>
              </a:ln>
              <a:effectLst/>
            </c:spPr>
          </c:downBars>
        </c:upDownBars>
        <c:marker val="0"/>
        <c:smooth val="0"/>
        <c:axId val="97751968"/>
        <c:axId val="97751552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'DISPOSAL OF INVESTED'!$E$32</c15:sqref>
                        </c15:formulaRef>
                      </c:ext>
                    </c:extLst>
                    <c:strCache>
                      <c:ptCount val="1"/>
                      <c:pt idx="0">
                        <c:v>Extra Ordinary Cash Flow 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'DISPOSAL OF INVESTED'!$C$36:$C$64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61</c:v>
                      </c:pt>
                      <c:pt idx="1">
                        <c:v>62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'DISPOSAL OF INVESTED'!$E$37:$E$64</c15:sqref>
                        </c15:formulaRef>
                      </c:ext>
                    </c:extLst>
                    <c:numCache>
                      <c:formatCode>#,##0_ ;\-#,##0\ </c:formatCode>
                      <c:ptCount val="28"/>
                    </c:numCache>
                  </c:numRef>
                </c:val>
                <c:smooth val="0"/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'DISPOSAL OF INVESTED'!$F$32</c15:sqref>
                        </c15:formulaRef>
                      </c:ext>
                    </c:extLst>
                    <c:strCache>
                      <c:ptCount val="1"/>
                      <c:pt idx="0">
                        <c:v>Future Value of Annual Expenses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'DISPOSAL OF INVESTED'!$C$36:$C$64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61</c:v>
                      </c:pt>
                      <c:pt idx="1">
                        <c:v>62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'DISPOSAL OF INVESTED'!$F$37:$F$64</c15:sqref>
                        </c15:formulaRef>
                      </c:ext>
                    </c:extLst>
                    <c:numCache>
                      <c:formatCode>#,##0</c:formatCode>
                      <c:ptCount val="28"/>
                      <c:pt idx="0">
                        <c:v>85971.765350088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</c:numCache>
                  </c:numRef>
                </c:val>
                <c:smooth val="0"/>
              </c15:ser>
            </c15:filteredLineSeries>
          </c:ext>
        </c:extLst>
      </c:lineChart>
      <c:catAx>
        <c:axId val="97751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97751552"/>
        <c:crosses val="autoZero"/>
        <c:auto val="1"/>
        <c:lblAlgn val="ctr"/>
        <c:lblOffset val="100"/>
        <c:noMultiLvlLbl val="0"/>
      </c:catAx>
      <c:valAx>
        <c:axId val="97751552"/>
        <c:scaling>
          <c:orientation val="minMax"/>
          <c:min val="-1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accent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97751968"/>
        <c:crosses val="autoZero"/>
        <c:crossBetween val="between"/>
        <c:majorUnit val="200000"/>
        <c:dispUnits>
          <c:builtInUnit val="millions"/>
          <c:dispUnitsLbl>
            <c:layout/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>
                <a:spAutoFit/>
              </a:bodyPr>
              <a:lstStyle/>
              <a:p>
                <a:pPr>
                  <a:defRPr lang="en-US"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  <c:extLst>
      <c:ext uri="{0b15fc19-7d7d-44ad-8c2d-2c3a37ce22c3}">
        <chartProps xmlns="https://web.wps.cn/et/2018/main" chartId="{0b75eaf5-952f-4d4d-840f-8ac2b5901170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'DISPOSAL OF INVESTED'!A1"/><Relationship Id="rId2" Type="http://schemas.openxmlformats.org/officeDocument/2006/relationships/image" Target="../media/image1.png"/><Relationship Id="rId1" Type="http://schemas.openxmlformats.org/officeDocument/2006/relationships/hyperlink" Target="#'PFR (LINKED)'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FORM!A1"/><Relationship Id="rId2" Type="http://schemas.openxmlformats.org/officeDocument/2006/relationships/hyperlink" Target="#'DISPOSAL OF INVESTED'!A1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hyperlink" Target="#FORM!A1"/><Relationship Id="rId3" Type="http://schemas.openxmlformats.org/officeDocument/2006/relationships/hyperlink" Target="#'PFR (LINKED)'!A1"/><Relationship Id="rId2" Type="http://schemas.openxmlformats.org/officeDocument/2006/relationships/image" Target="../media/image4.png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7916</xdr:colOff>
      <xdr:row>19</xdr:row>
      <xdr:rowOff>126801</xdr:rowOff>
    </xdr:from>
    <xdr:to>
      <xdr:col>7</xdr:col>
      <xdr:colOff>5729</xdr:colOff>
      <xdr:row>21</xdr:row>
      <xdr:rowOff>76200</xdr:rowOff>
    </xdr:to>
    <xdr:sp>
      <xdr:nvSpPr>
        <xdr:cNvPr id="2" name="rect">
          <a:hlinkClick xmlns:r="http://schemas.openxmlformats.org/officeDocument/2006/relationships" r:id="rId1"/>
        </xdr:cNvPr>
        <xdr:cNvSpPr/>
      </xdr:nvSpPr>
      <xdr:spPr>
        <a:xfrm>
          <a:off x="2771775" y="3623945"/>
          <a:ext cx="1616710" cy="254635"/>
        </a:xfrm>
        <a:prstGeom prst="rect">
          <a:avLst/>
        </a:prstGeom>
        <a:solidFill>
          <a:srgbClr val="702FA0"/>
        </a:solidFill>
        <a:ln w="9525" cap="flat" cmpd="sng">
          <a:solidFill>
            <a:srgbClr val="2E528F"/>
          </a:solidFill>
          <a:prstDash val="solid"/>
          <a:round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lIns="90000" tIns="46800" rIns="90000" bIns="46800" anchor="ctr"/>
        <a:lstStyle/>
        <a:p>
          <a:pPr algn="ctr"/>
          <a:r>
            <a:rPr lang="en-US" altLang="zh-CN" sz="800">
              <a:solidFill>
                <a:srgbClr val="FFFFFF"/>
              </a:solidFill>
              <a:latin typeface="Calibri" panose="020F0502020204030204" charset="0"/>
              <a:ea typeface="Calibri" panose="020F0502020204030204" charset="0"/>
            </a:rPr>
            <a:t>Proceed to Planner</a:t>
          </a:r>
          <a:endParaRPr lang="en-US" altLang="zh-CN" sz="800">
            <a:solidFill>
              <a:srgbClr val="FFFFFF"/>
            </a:solidFill>
            <a:latin typeface="Calibri" panose="020F0502020204030204" charset="0"/>
            <a:ea typeface="Calibri" panose="020F0502020204030204" charset="0"/>
          </a:endParaRPr>
        </a:p>
      </xdr:txBody>
    </xdr:sp>
    <xdr:clientData/>
  </xdr:twoCellAnchor>
  <xdr:twoCellAnchor>
    <xdr:from>
      <xdr:col>13</xdr:col>
      <xdr:colOff>604135</xdr:colOff>
      <xdr:row>1</xdr:row>
      <xdr:rowOff>0</xdr:rowOff>
    </xdr:from>
    <xdr:to>
      <xdr:col>21</xdr:col>
      <xdr:colOff>201190</xdr:colOff>
      <xdr:row>17</xdr:row>
      <xdr:rowOff>138973</xdr:rowOff>
    </xdr:to>
    <xdr:pic>
      <xdr:nvPicPr>
        <xdr:cNvPr id="3" name="Picture 3" descr=" "/>
        <xdr:cNvPicPr/>
      </xdr:nvPicPr>
      <xdr:blipFill>
        <a:blip r:embed="rId2"/>
        <a:srcRect l="53221" r="8963"/>
        <a:stretch>
          <a:fillRect/>
        </a:stretch>
      </xdr:blipFill>
      <xdr:spPr>
        <a:xfrm>
          <a:off x="7195185" y="152400"/>
          <a:ext cx="4046855" cy="308610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2</xdr:col>
      <xdr:colOff>11666</xdr:colOff>
      <xdr:row>21</xdr:row>
      <xdr:rowOff>126801</xdr:rowOff>
    </xdr:from>
    <xdr:to>
      <xdr:col>7</xdr:col>
      <xdr:colOff>17569</xdr:colOff>
      <xdr:row>23</xdr:row>
      <xdr:rowOff>76200</xdr:rowOff>
    </xdr:to>
    <xdr:sp>
      <xdr:nvSpPr>
        <xdr:cNvPr id="4" name="rect">
          <a:hlinkClick xmlns:r="http://schemas.openxmlformats.org/officeDocument/2006/relationships" r:id="rId3"/>
        </xdr:cNvPr>
        <xdr:cNvSpPr/>
      </xdr:nvSpPr>
      <xdr:spPr>
        <a:xfrm>
          <a:off x="2775585" y="3928745"/>
          <a:ext cx="1624330" cy="254635"/>
        </a:xfrm>
        <a:prstGeom prst="rect">
          <a:avLst/>
        </a:prstGeom>
        <a:solidFill>
          <a:srgbClr val="00B050"/>
        </a:solidFill>
        <a:ln w="9525" cap="rnd" cmpd="sng">
          <a:solidFill>
            <a:srgbClr val="2E528F"/>
          </a:solidFill>
          <a:prstDash val="solid"/>
          <a:miter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lIns="90000" tIns="46800" rIns="90000" bIns="46800" anchor="ctr"/>
        <a:lstStyle/>
        <a:p>
          <a:pPr algn="ctr"/>
          <a:r>
            <a:rPr lang="en-US" altLang="zh-CN" sz="700" b="1">
              <a:solidFill>
                <a:srgbClr val="FFFFFF"/>
              </a:solidFill>
              <a:latin typeface="Calibri" panose="020F0502020204030204" charset="0"/>
              <a:ea typeface="Calibri" panose="020F0502020204030204" charset="0"/>
            </a:rPr>
            <a:t>Check</a:t>
          </a:r>
          <a:r>
            <a:rPr lang="en-US" altLang="zh-CN" sz="800" b="1">
              <a:solidFill>
                <a:srgbClr val="FFFFFF"/>
              </a:solidFill>
              <a:latin typeface="Calibri" panose="020F0502020204030204" charset="0"/>
              <a:ea typeface="Calibri" panose="020F0502020204030204" charset="0"/>
            </a:rPr>
            <a:t> Disposal of Investment </a:t>
          </a:r>
          <a:endParaRPr lang="en-US" altLang="zh-CN" sz="800" b="1">
            <a:solidFill>
              <a:srgbClr val="FFFFFF"/>
            </a:solidFill>
            <a:latin typeface="Calibri" panose="020F0502020204030204" charset="0"/>
            <a:ea typeface="Calibri" panose="020F0502020204030204" charset="0"/>
          </a:endParaRPr>
        </a:p>
        <a:p>
          <a:pPr algn="ctr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5468</xdr:colOff>
      <xdr:row>0</xdr:row>
      <xdr:rowOff>75852</xdr:rowOff>
    </xdr:from>
    <xdr:to>
      <xdr:col>16</xdr:col>
      <xdr:colOff>62291</xdr:colOff>
      <xdr:row>12</xdr:row>
      <xdr:rowOff>0</xdr:rowOff>
    </xdr:to>
    <xdr:grpSp>
      <xdr:nvGrpSpPr>
        <xdr:cNvPr id="2" name=" "/>
        <xdr:cNvGrpSpPr/>
      </xdr:nvGrpSpPr>
      <xdr:grpSpPr>
        <a:xfrm>
          <a:off x="8138795" y="75565"/>
          <a:ext cx="1784985" cy="1158875"/>
          <a:chOff x="9469583" y="175749"/>
          <a:chExt cx="1697193" cy="1142031"/>
        </a:xfrm>
      </xdr:grpSpPr>
      <xdr:pic>
        <xdr:nvPicPr>
          <xdr:cNvPr id="3" name="Picture 2" descr=" "/>
          <xdr:cNvPicPr/>
        </xdr:nvPicPr>
        <xdr:blipFill>
          <a:blip r:embed="rId1"/>
          <a:srcRect/>
          <a:stretch>
            <a:fillRect/>
          </a:stretch>
        </xdr:blipFill>
        <xdr:spPr>
          <a:xfrm>
            <a:off x="9469583" y="175749"/>
            <a:ext cx="1679908" cy="660311"/>
          </a:xfrm>
          <a:prstGeom prst="rect">
            <a:avLst/>
          </a:prstGeom>
          <a:noFill/>
          <a:ln>
            <a:noFill/>
          </a:ln>
          <a:effectLst/>
        </xdr:spPr>
      </xdr:pic>
      <xdr:sp>
        <xdr:nvSpPr>
          <xdr:cNvPr id="4" name="rect">
            <a:hlinkClick xmlns:r="http://schemas.openxmlformats.org/officeDocument/2006/relationships" r:id="rId2"/>
          </xdr:cNvPr>
          <xdr:cNvSpPr/>
        </xdr:nvSpPr>
        <xdr:spPr>
          <a:xfrm>
            <a:off x="9476520" y="1080655"/>
            <a:ext cx="1690255" cy="237125"/>
          </a:xfrm>
          <a:prstGeom prst="rect">
            <a:avLst/>
          </a:prstGeom>
          <a:solidFill>
            <a:srgbClr val="00B050"/>
          </a:solidFill>
          <a:ln w="9525" cap="rnd" cmpd="sng">
            <a:solidFill>
              <a:srgbClr val="2E528F"/>
            </a:solidFill>
            <a:prstDash val="solid"/>
            <a:miter/>
          </a:ln>
          <a:effectLst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dk1"/>
          </a:fontRef>
        </xdr:style>
        <xdr:txBody>
          <a:bodyPr vertOverflow="clip" horzOverflow="clip" lIns="90000" tIns="46800" rIns="90000" bIns="46800" anchor="ctr"/>
          <a:lstStyle/>
          <a:p>
            <a:pPr algn="ctr"/>
            <a:r>
              <a:rPr lang="en-US" altLang="zh-CN" sz="900" b="1">
                <a:solidFill>
                  <a:srgbClr val="FFFFFF"/>
                </a:solidFill>
                <a:latin typeface="Calibri" panose="020F0502020204030204" charset="0"/>
                <a:ea typeface="Calibri" panose="020F0502020204030204" charset="0"/>
              </a:rPr>
              <a:t>Check Disposal of Investment </a:t>
            </a:r>
            <a:endParaRPr lang="en-US" altLang="zh-CN" sz="900" b="1">
              <a:solidFill>
                <a:srgbClr val="FFFFFF"/>
              </a:solidFill>
              <a:latin typeface="Calibri" panose="020F0502020204030204" charset="0"/>
              <a:ea typeface="Calibri" panose="020F0502020204030204" charset="0"/>
            </a:endParaRPr>
          </a:p>
          <a:p>
            <a:pPr algn="ctr"/>
          </a:p>
        </xdr:txBody>
      </xdr:sp>
      <xdr:sp>
        <xdr:nvSpPr>
          <xdr:cNvPr id="5" name="rect">
            <a:hlinkClick xmlns:r="http://schemas.openxmlformats.org/officeDocument/2006/relationships" r:id="rId3"/>
          </xdr:cNvPr>
          <xdr:cNvSpPr/>
        </xdr:nvSpPr>
        <xdr:spPr>
          <a:xfrm>
            <a:off x="9476521" y="850988"/>
            <a:ext cx="1690255" cy="229667"/>
          </a:xfrm>
          <a:prstGeom prst="rect">
            <a:avLst/>
          </a:prstGeom>
          <a:solidFill>
            <a:srgbClr val="4472C3"/>
          </a:solidFill>
          <a:ln w="9525" cap="rnd" cmpd="sng">
            <a:solidFill>
              <a:srgbClr val="2E528F"/>
            </a:solidFill>
            <a:prstDash val="solid"/>
            <a:miter/>
          </a:ln>
          <a:effectLst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dk1"/>
          </a:fontRef>
        </xdr:style>
        <xdr:txBody>
          <a:bodyPr vertOverflow="clip" horzOverflow="clip" lIns="90000" tIns="46800" rIns="90000" bIns="46800" anchor="ctr"/>
          <a:lstStyle/>
          <a:p>
            <a:pPr algn="ctr"/>
            <a:r>
              <a:rPr lang="en-US" altLang="zh-CN" sz="900" b="1">
                <a:solidFill>
                  <a:srgbClr val="FFFFFF"/>
                </a:solidFill>
                <a:latin typeface="Calibri" panose="020F0502020204030204" charset="0"/>
                <a:ea typeface="Calibri" panose="020F0502020204030204" charset="0"/>
              </a:rPr>
              <a:t>Back to FORM</a:t>
            </a:r>
            <a:endParaRPr lang="en-US" altLang="zh-CN" sz="900" b="1">
              <a:solidFill>
                <a:srgbClr val="FFFFFF"/>
              </a:solidFill>
              <a:latin typeface="Calibri" panose="020F0502020204030204" charset="0"/>
              <a:ea typeface="Calibri" panose="020F0502020204030204" charset="0"/>
            </a:endParaRP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174094</xdr:colOff>
      <xdr:row>33</xdr:row>
      <xdr:rowOff>126603</xdr:rowOff>
    </xdr:from>
    <xdr:to>
      <xdr:col>18</xdr:col>
      <xdr:colOff>723670</xdr:colOff>
      <xdr:row>70</xdr:row>
      <xdr:rowOff>164455</xdr:rowOff>
    </xdr:to>
    <xdr:graphicFrame>
      <xdr:nvGraphicFramePr>
        <xdr:cNvPr id="2" name="图表 1"/>
        <xdr:cNvGraphicFramePr/>
      </xdr:nvGraphicFramePr>
      <xdr:xfrm>
        <a:off x="6167755" y="1132840"/>
        <a:ext cx="7961630" cy="711644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70089</xdr:colOff>
      <xdr:row>36</xdr:row>
      <xdr:rowOff>113853</xdr:rowOff>
    </xdr:from>
    <xdr:to>
      <xdr:col>18</xdr:col>
      <xdr:colOff>771856</xdr:colOff>
      <xdr:row>51</xdr:row>
      <xdr:rowOff>88552</xdr:rowOff>
    </xdr:to>
    <xdr:pic>
      <xdr:nvPicPr>
        <xdr:cNvPr id="3" name="Picture 2" descr=" "/>
        <xdr:cNvPicPr/>
      </xdr:nvPicPr>
      <xdr:blipFill>
        <a:blip r:embed="rId2"/>
        <a:srcRect/>
        <a:stretch>
          <a:fillRect/>
        </a:stretch>
      </xdr:blipFill>
      <xdr:spPr>
        <a:xfrm>
          <a:off x="6673850" y="1722120"/>
          <a:ext cx="7503795" cy="283210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14</xdr:col>
      <xdr:colOff>63080</xdr:colOff>
      <xdr:row>30</xdr:row>
      <xdr:rowOff>164529</xdr:rowOff>
    </xdr:from>
    <xdr:to>
      <xdr:col>16</xdr:col>
      <xdr:colOff>330295</xdr:colOff>
      <xdr:row>32</xdr:row>
      <xdr:rowOff>164455</xdr:rowOff>
    </xdr:to>
    <xdr:sp>
      <xdr:nvSpPr>
        <xdr:cNvPr id="4" name="rect">
          <a:hlinkClick xmlns:r="http://schemas.openxmlformats.org/officeDocument/2006/relationships" r:id="rId3"/>
        </xdr:cNvPr>
        <xdr:cNvSpPr/>
      </xdr:nvSpPr>
      <xdr:spPr>
        <a:xfrm>
          <a:off x="10067925" y="580390"/>
          <a:ext cx="1967865" cy="399415"/>
        </a:xfrm>
        <a:prstGeom prst="rect">
          <a:avLst/>
        </a:prstGeom>
        <a:solidFill>
          <a:srgbClr val="702FA0"/>
        </a:solidFill>
        <a:ln w="9525" cap="rnd" cmpd="sng">
          <a:solidFill>
            <a:srgbClr val="2E528F"/>
          </a:solidFill>
          <a:prstDash val="solid"/>
          <a:miter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lIns="90000" tIns="46800" rIns="90000" bIns="46800" anchor="ctr"/>
        <a:lstStyle/>
        <a:p>
          <a:pPr algn="ctr"/>
          <a:r>
            <a:rPr lang="en-US" altLang="zh-CN" sz="1800" b="1">
              <a:solidFill>
                <a:srgbClr val="FFFFFF"/>
              </a:solidFill>
              <a:latin typeface="Calibri" panose="020F0502020204030204" charset="0"/>
              <a:ea typeface="Calibri" panose="020F0502020204030204" charset="0"/>
            </a:rPr>
            <a:t>Back to PLANNER REPORT</a:t>
          </a:r>
          <a:endParaRPr lang="en-US" altLang="zh-CN" sz="1800" b="1">
            <a:solidFill>
              <a:srgbClr val="FFFFFF"/>
            </a:solidFill>
            <a:latin typeface="Calibri" panose="020F0502020204030204" charset="0"/>
            <a:ea typeface="Calibri" panose="020F0502020204030204" charset="0"/>
          </a:endParaRPr>
        </a:p>
      </xdr:txBody>
    </xdr:sp>
    <xdr:clientData/>
  </xdr:twoCellAnchor>
  <xdr:twoCellAnchor>
    <xdr:from>
      <xdr:col>16</xdr:col>
      <xdr:colOff>403012</xdr:colOff>
      <xdr:row>30</xdr:row>
      <xdr:rowOff>164529</xdr:rowOff>
    </xdr:from>
    <xdr:to>
      <xdr:col>18</xdr:col>
      <xdr:colOff>676360</xdr:colOff>
      <xdr:row>32</xdr:row>
      <xdr:rowOff>164455</xdr:rowOff>
    </xdr:to>
    <xdr:sp>
      <xdr:nvSpPr>
        <xdr:cNvPr id="5" name="rect">
          <a:hlinkClick xmlns:r="http://schemas.openxmlformats.org/officeDocument/2006/relationships" r:id="rId4"/>
        </xdr:cNvPr>
        <xdr:cNvSpPr/>
      </xdr:nvSpPr>
      <xdr:spPr>
        <a:xfrm>
          <a:off x="12108180" y="580390"/>
          <a:ext cx="1974215" cy="399415"/>
        </a:xfrm>
        <a:prstGeom prst="rect">
          <a:avLst/>
        </a:prstGeom>
        <a:solidFill>
          <a:srgbClr val="4472C3"/>
        </a:solidFill>
        <a:ln w="9525" cap="rnd" cmpd="sng">
          <a:solidFill>
            <a:srgbClr val="2E528F"/>
          </a:solidFill>
          <a:prstDash val="solid"/>
          <a:miter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lIns="90000" tIns="46800" rIns="90000" bIns="46800" anchor="ctr"/>
        <a:lstStyle/>
        <a:p>
          <a:pPr algn="ctr"/>
          <a:r>
            <a:rPr lang="en-US" altLang="zh-CN" sz="1800" b="1">
              <a:solidFill>
                <a:srgbClr val="FFFFFF"/>
              </a:solidFill>
              <a:latin typeface="Calibri" panose="020F0502020204030204" charset="0"/>
              <a:ea typeface="Calibri" panose="020F0502020204030204" charset="0"/>
            </a:rPr>
            <a:t>Back to FORM</a:t>
          </a:r>
          <a:endParaRPr lang="en-US" altLang="zh-CN" sz="1800" b="1">
            <a:solidFill>
              <a:srgbClr val="FFFFFF"/>
            </a:solidFill>
            <a:latin typeface="Calibri" panose="020F0502020204030204" charset="0"/>
            <a:ea typeface="Calibri" panose="020F0502020204030204" charset="0"/>
          </a:endParaRP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file:///C:\Users\User\OneDrive\Desktop\MonQ Financial Planning Software (2021)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Index"/>
      <sheetName val="User Manual"/>
      <sheetName val="T&amp;C"/>
      <sheetName val="ES"/>
      <sheetName val="G&amp;O"/>
      <sheetName val="Chapter 1"/>
      <sheetName val="ReT(O)"/>
      <sheetName val="ReT(I)"/>
      <sheetName val="BzT"/>
      <sheetName val="Inv Rcrd"/>
      <sheetName val="As"/>
      <sheetName val="Lb"/>
      <sheetName val="Ins(O)"/>
      <sheetName val="Ins(S)"/>
      <sheetName val="Ins(C)"/>
      <sheetName val="InsSUM"/>
      <sheetName val="CIF"/>
      <sheetName val="COF"/>
      <sheetName val="NWA"/>
      <sheetName val="Chapter 2"/>
      <sheetName val="AsA"/>
      <sheetName val="AsCh"/>
      <sheetName val="AsAl"/>
      <sheetName val="PrR"/>
      <sheetName val="LbCh"/>
      <sheetName val="CIFS"/>
      <sheetName val="COFS"/>
      <sheetName val="FR1"/>
      <sheetName val="FR2"/>
      <sheetName val="FRS"/>
      <sheetName val="Chapter 3"/>
      <sheetName val="Liq"/>
      <sheetName val="Acc"/>
      <sheetName val="Inc"/>
      <sheetName val="DDC"/>
      <sheetName val="CE"/>
      <sheetName val="CEF"/>
      <sheetName val="FI"/>
      <sheetName val="FI 1"/>
      <sheetName val="FI 2"/>
      <sheetName val="FI 3"/>
      <sheetName val="Pl(G&amp;O)"/>
      <sheetName val="Pl(CF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</sheetDataSet>
  </externalBook>
</externalLink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4473C4"/>
  </sheetPr>
  <dimension ref="A2:P22"/>
  <sheetViews>
    <sheetView showGridLines="0" zoomScale="90" zoomScaleNormal="90" workbookViewId="0">
      <pane ySplit="27" topLeftCell="A65" activePane="bottomLeft" state="frozen"/>
      <selection/>
      <selection pane="bottomLeft" activeCell="C14" sqref="C14"/>
    </sheetView>
  </sheetViews>
  <sheetFormatPr defaultColWidth="9" defaultRowHeight="12"/>
  <cols>
    <col min="1" max="1" width="38.2037037037037" style="251" customWidth="1"/>
    <col min="2" max="2" width="2.10185185185185" style="251" customWidth="1"/>
    <col min="3" max="3" width="5.89814814814815" style="251" customWidth="1"/>
    <col min="4" max="4" width="0.601851851851852" style="251" customWidth="1"/>
    <col min="5" max="5" width="5.7962962962963" style="251" customWidth="1"/>
    <col min="6" max="6" width="0.601851851851852" style="251" customWidth="1"/>
    <col min="7" max="7" width="10.7037037037037" style="251" customWidth="1"/>
    <col min="8" max="8" width="2.7037037037037" style="251" customWidth="1"/>
    <col min="9" max="9" width="6.60185185185185" style="251" customWidth="1"/>
    <col min="10" max="10" width="6" style="251" customWidth="1"/>
    <col min="11" max="11" width="4.10185185185185" style="251" customWidth="1"/>
    <col min="12" max="12" width="11.3981481481481" style="251" customWidth="1"/>
    <col min="13" max="13" width="1.39814814814815" style="251" customWidth="1"/>
    <col min="14" max="14" width="11.2037037037037" style="251" customWidth="1"/>
    <col min="15" max="15" width="0.296296296296296" style="251" customWidth="1"/>
    <col min="16" max="16384" width="8.89814814814815" style="251"/>
  </cols>
  <sheetData>
    <row r="2" s="267" customFormat="1" ht="13.8" spans="1:15">
      <c r="A2" s="268" t="s">
        <v>0</v>
      </c>
      <c r="B2" s="269" t="s">
        <v>1</v>
      </c>
      <c r="C2" s="270">
        <v>18</v>
      </c>
      <c r="D2" s="271"/>
      <c r="E2" s="270">
        <v>3</v>
      </c>
      <c r="F2" s="271"/>
      <c r="G2" s="270">
        <v>2025</v>
      </c>
      <c r="H2" s="272" t="s">
        <v>2</v>
      </c>
      <c r="O2" s="302">
        <f ca="1">TODAY()</f>
        <v>45734</v>
      </c>
    </row>
    <row r="3" s="267" customFormat="1" ht="3.65" customHeight="1" spans="1:8">
      <c r="A3" s="273"/>
      <c r="C3" s="236"/>
      <c r="D3" s="236"/>
      <c r="E3" s="236"/>
      <c r="F3" s="236"/>
      <c r="G3" s="236"/>
      <c r="H3" s="274"/>
    </row>
    <row r="4" s="267" customFormat="1" ht="15" customHeight="1" spans="1:14">
      <c r="A4" s="275" t="s">
        <v>3</v>
      </c>
      <c r="B4" s="275"/>
      <c r="C4" s="275"/>
      <c r="D4" s="275"/>
      <c r="E4" s="275"/>
      <c r="F4" s="275"/>
      <c r="G4" s="275"/>
      <c r="H4" s="275"/>
      <c r="I4" s="275"/>
      <c r="J4" s="275"/>
      <c r="K4" s="275"/>
      <c r="L4" s="275"/>
      <c r="M4" s="275"/>
      <c r="N4" s="275"/>
    </row>
    <row r="5" s="267" customFormat="1" ht="16.25" customHeight="1" spans="1:11">
      <c r="A5" s="276" t="s">
        <v>4</v>
      </c>
      <c r="B5" s="267" t="s">
        <v>1</v>
      </c>
      <c r="C5" s="277" t="s">
        <v>5</v>
      </c>
      <c r="D5" s="278"/>
      <c r="E5" s="278"/>
      <c r="F5" s="278"/>
      <c r="G5" s="279"/>
      <c r="H5" s="272" t="s">
        <v>2</v>
      </c>
      <c r="I5" s="303" t="s">
        <v>6</v>
      </c>
      <c r="J5" s="304" t="s">
        <v>7</v>
      </c>
      <c r="K5" s="281" t="s">
        <v>2</v>
      </c>
    </row>
    <row r="6" s="267" customFormat="1" ht="16.25" customHeight="1" spans="1:9">
      <c r="A6" s="280" t="s">
        <v>8</v>
      </c>
      <c r="B6" s="267" t="s">
        <v>1</v>
      </c>
      <c r="C6" s="277" t="s">
        <v>9</v>
      </c>
      <c r="D6" s="278"/>
      <c r="E6" s="278"/>
      <c r="F6" s="278"/>
      <c r="G6" s="279"/>
      <c r="H6" s="281"/>
      <c r="I6" s="305"/>
    </row>
    <row r="7" s="267" customFormat="1" ht="16.25" customHeight="1" spans="1:9">
      <c r="A7" s="280" t="s">
        <v>10</v>
      </c>
      <c r="B7" s="267" t="s">
        <v>1</v>
      </c>
      <c r="C7" s="277"/>
      <c r="D7" s="278"/>
      <c r="E7" s="278"/>
      <c r="F7" s="278"/>
      <c r="G7" s="279"/>
      <c r="H7" s="281"/>
      <c r="I7" s="305"/>
    </row>
    <row r="8" s="267" customFormat="1" ht="16.25" customHeight="1" spans="1:8">
      <c r="A8" s="280" t="s">
        <v>11</v>
      </c>
      <c r="B8" s="267" t="s">
        <v>1</v>
      </c>
      <c r="C8" s="320" t="s">
        <v>12</v>
      </c>
      <c r="D8" s="282"/>
      <c r="E8" s="321" t="s">
        <v>12</v>
      </c>
      <c r="F8" s="282"/>
      <c r="G8" s="279">
        <v>1970</v>
      </c>
      <c r="H8" s="281" t="s">
        <v>2</v>
      </c>
    </row>
    <row r="9" s="267" customFormat="1" ht="16.25" customHeight="1" spans="1:12">
      <c r="A9" s="280" t="s">
        <v>13</v>
      </c>
      <c r="B9" s="267" t="s">
        <v>1</v>
      </c>
      <c r="C9" s="283">
        <f>G2-G8</f>
        <v>55</v>
      </c>
      <c r="D9" s="284"/>
      <c r="E9" s="284"/>
      <c r="F9" s="284"/>
      <c r="G9" s="285"/>
      <c r="H9" s="286"/>
      <c r="I9" s="286"/>
      <c r="J9" s="286"/>
      <c r="K9" s="306" t="s">
        <v>14</v>
      </c>
      <c r="L9" s="306"/>
    </row>
    <row r="10" s="267" customFormat="1" ht="16.25" customHeight="1" spans="1:14">
      <c r="A10" s="280" t="s">
        <v>15</v>
      </c>
      <c r="B10" s="267" t="s">
        <v>1</v>
      </c>
      <c r="C10" s="287">
        <v>0</v>
      </c>
      <c r="D10" s="288"/>
      <c r="E10" s="288"/>
      <c r="F10" s="288"/>
      <c r="G10" s="289"/>
      <c r="H10" s="290"/>
      <c r="I10" s="290"/>
      <c r="J10" s="290"/>
      <c r="K10" s="306"/>
      <c r="L10" s="306"/>
      <c r="M10" s="267" t="s">
        <v>1</v>
      </c>
      <c r="N10" s="307">
        <f>C10*(VLOOKUP(C6,LEGEND!B:C,2,0))</f>
        <v>0</v>
      </c>
    </row>
    <row r="11" s="267" customFormat="1" ht="16.25" customHeight="1" spans="1:14">
      <c r="A11" s="280" t="s">
        <v>16</v>
      </c>
      <c r="B11" s="267" t="s">
        <v>1</v>
      </c>
      <c r="C11" s="277">
        <v>60</v>
      </c>
      <c r="D11" s="278"/>
      <c r="E11" s="278"/>
      <c r="F11" s="278"/>
      <c r="G11" s="279"/>
      <c r="H11" s="286"/>
      <c r="I11" s="308" t="s">
        <v>17</v>
      </c>
      <c r="J11" s="286"/>
      <c r="N11" s="236"/>
    </row>
    <row r="12" s="267" customFormat="1" ht="16.25" customHeight="1" spans="1:14">
      <c r="A12" s="280" t="s">
        <v>18</v>
      </c>
      <c r="B12" s="267" t="s">
        <v>1</v>
      </c>
      <c r="C12" s="291">
        <f>IF(VLOOKUP($I$11,LEGEND!F:G,2,0)=1,(C11-0),(C11-C9))</f>
        <v>5</v>
      </c>
      <c r="D12" s="292"/>
      <c r="E12" s="292"/>
      <c r="F12" s="292"/>
      <c r="G12" s="293"/>
      <c r="H12" s="286"/>
      <c r="I12" s="286"/>
      <c r="J12" s="286"/>
      <c r="L12" s="303" t="s">
        <v>19</v>
      </c>
      <c r="M12" s="267" t="s">
        <v>1</v>
      </c>
      <c r="N12" s="309">
        <v>0.07</v>
      </c>
    </row>
    <row r="13" s="267" customFormat="1" ht="16.25" customHeight="1" spans="1:14">
      <c r="A13" s="294" t="s">
        <v>20</v>
      </c>
      <c r="B13" s="267" t="s">
        <v>1</v>
      </c>
      <c r="C13" s="287">
        <v>6000</v>
      </c>
      <c r="D13" s="288"/>
      <c r="E13" s="288"/>
      <c r="F13" s="288"/>
      <c r="G13" s="289"/>
      <c r="H13" s="295" t="s">
        <v>21</v>
      </c>
      <c r="I13" s="310">
        <f>IF(VLOOKUP($A$13,LEGEND!D:E,2,0)=1,(($C$13*12)/$N$12),(($C$13*$N$12)/12))</f>
        <v>1028571.42857143</v>
      </c>
      <c r="J13" s="311" t="e">
        <f>IF(VLOOKUP($A$13,LEGEND!#REF!,2,0)&gt;0,((FORM!$C$13*FORM!L5)/12),((FORM!$C$13/FORM!L5)*12))</f>
        <v>#REF!</v>
      </c>
      <c r="K13" s="312" t="s">
        <v>22</v>
      </c>
      <c r="L13" s="303" t="s">
        <v>23</v>
      </c>
      <c r="M13" s="267" t="s">
        <v>1</v>
      </c>
      <c r="N13" s="313">
        <v>0.035</v>
      </c>
    </row>
    <row r="14" s="267" customFormat="1" spans="1:14">
      <c r="A14" s="296" t="s">
        <v>24</v>
      </c>
      <c r="D14" s="297"/>
      <c r="E14" s="297"/>
      <c r="F14" s="297"/>
      <c r="G14" s="297"/>
      <c r="L14" s="303" t="s">
        <v>25</v>
      </c>
      <c r="M14" s="267" t="s">
        <v>1</v>
      </c>
      <c r="N14" s="314">
        <f>IF(VLOOKUP(A13,LEGEND!D:E,2,0)=1,($I$13*(1+$N$13)^$C$12),($C$13*(1+$N$13)^$C$12))</f>
        <v>1221620.20009393</v>
      </c>
    </row>
    <row r="15" s="267" customFormat="1" ht="13.8" spans="1:16">
      <c r="A15" s="273"/>
      <c r="C15" s="298"/>
      <c r="D15" s="298"/>
      <c r="E15" s="298"/>
      <c r="F15" s="298"/>
      <c r="G15" s="298"/>
      <c r="H15" s="299"/>
      <c r="I15" s="298"/>
      <c r="J15" s="298"/>
      <c r="K15" s="315"/>
      <c r="P15" s="316"/>
    </row>
    <row r="16" s="267" customFormat="1" ht="13.8" spans="1:8">
      <c r="A16" s="273"/>
      <c r="C16" s="236"/>
      <c r="D16" s="236"/>
      <c r="E16" s="236"/>
      <c r="F16" s="236"/>
      <c r="G16" s="236"/>
      <c r="H16" s="274"/>
    </row>
    <row r="17" s="267" customFormat="1" ht="13.8" spans="1:14">
      <c r="A17" s="275" t="s">
        <v>26</v>
      </c>
      <c r="B17" s="275"/>
      <c r="C17" s="275"/>
      <c r="D17" s="275"/>
      <c r="E17" s="275"/>
      <c r="F17" s="275"/>
      <c r="G17" s="275"/>
      <c r="H17" s="275"/>
      <c r="I17" s="275"/>
      <c r="J17" s="275"/>
      <c r="K17" s="275"/>
      <c r="L17" s="275"/>
      <c r="M17" s="275"/>
      <c r="N17" s="275"/>
    </row>
    <row r="18" s="267" customFormat="1" ht="15.65" customHeight="1" spans="1:14">
      <c r="A18" s="276" t="s">
        <v>27</v>
      </c>
      <c r="B18" s="267" t="s">
        <v>1</v>
      </c>
      <c r="C18" s="287">
        <v>1000000</v>
      </c>
      <c r="D18" s="288"/>
      <c r="E18" s="288"/>
      <c r="F18" s="288"/>
      <c r="G18" s="289"/>
      <c r="H18" s="300" t="s">
        <v>2</v>
      </c>
      <c r="L18" s="158" t="s">
        <v>28</v>
      </c>
      <c r="M18" s="267" t="s">
        <v>1</v>
      </c>
      <c r="N18" s="317">
        <f>'DISPOSAL OF INVESTED'!G23/'PFR (LINKED)'!K10</f>
        <v>1.14810784120315</v>
      </c>
    </row>
    <row r="19" s="267" customFormat="1" ht="15.65" customHeight="1" spans="1:10">
      <c r="A19" s="280" t="s">
        <v>29</v>
      </c>
      <c r="B19" s="267" t="s">
        <v>1</v>
      </c>
      <c r="C19" s="287">
        <v>0</v>
      </c>
      <c r="D19" s="288"/>
      <c r="E19" s="288"/>
      <c r="F19" s="288"/>
      <c r="G19" s="289"/>
      <c r="H19" s="300" t="s">
        <v>2</v>
      </c>
      <c r="J19" s="303"/>
    </row>
    <row r="20" spans="1:12">
      <c r="A20" s="301"/>
      <c r="L20" s="318"/>
    </row>
    <row r="22" spans="12:13">
      <c r="L22" s="319"/>
      <c r="M22" s="319"/>
    </row>
  </sheetData>
  <sheetProtection sheet="1" autoFilter="0" objects="1" scenarios="1"/>
  <protectedRanges>
    <protectedRange sqref="I11" name="Investment period"/>
    <protectedRange sqref="C5:G8 C10:G11 N12:N13 C18:G19 J5 C13:G13" name="PERSONAL DETAILS"/>
    <protectedRange sqref="C2 E2 G2" name="Project Date"/>
    <protectedRange sqref="A13 A11" name="Objective and Period"/>
    <protectedRange sqref="A13 A11" name="Range4"/>
  </protectedRanges>
  <mergeCells count="14">
    <mergeCell ref="C5:G5"/>
    <mergeCell ref="C6:G6"/>
    <mergeCell ref="C7:G7"/>
    <mergeCell ref="C9:G9"/>
    <mergeCell ref="C10:G10"/>
    <mergeCell ref="C11:G11"/>
    <mergeCell ref="C12:G12"/>
    <mergeCell ref="C13:G13"/>
    <mergeCell ref="I13:J13"/>
    <mergeCell ref="C15:G15"/>
    <mergeCell ref="I15:J15"/>
    <mergeCell ref="C18:G18"/>
    <mergeCell ref="C19:G19"/>
    <mergeCell ref="K9:L10"/>
  </mergeCells>
  <conditionalFormatting sqref="N18">
    <cfRule type="cellIs" dxfId="0" priority="2" operator="lessThan">
      <formula>100%</formula>
    </cfRule>
    <cfRule type="cellIs" dxfId="1" priority="1" operator="greaterThan">
      <formula>100%</formula>
    </cfRule>
  </conditionalFormatting>
  <dataValidations count="4">
    <dataValidation type="list" allowBlank="1" showInputMessage="1" showErrorMessage="1" sqref="J5">
      <formula1>LEGEND!$A$1:$A$3</formula1>
    </dataValidation>
    <dataValidation type="list" allowBlank="1" showInputMessage="1" showErrorMessage="1" sqref="C6:G6">
      <formula1>LEGEND!$B$1:$B$7</formula1>
    </dataValidation>
    <dataValidation type="list" allowBlank="1" showInputMessage="1" showErrorMessage="1" sqref="I11">
      <formula1>LEGEND!$F$1:$F$2</formula1>
    </dataValidation>
    <dataValidation type="list" allowBlank="1" showInputMessage="1" showErrorMessage="1" sqref="A13">
      <formula1>LEGEND!$D$1:$D$2</formula1>
    </dataValidation>
  </dataValidations>
  <pageMargins left="0.7" right="0.7" top="0.75" bottom="0.75" header="0.3" footer="0.3"/>
  <pageSetup paperSize="9" scale="64" orientation="portrait"/>
  <headerFooter/>
  <drawing r:id="rId1"/>
  <picture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F64"/>
  <sheetViews>
    <sheetView workbookViewId="0">
      <selection activeCell="F14" sqref="F14"/>
    </sheetView>
  </sheetViews>
  <sheetFormatPr defaultColWidth="9" defaultRowHeight="12"/>
  <cols>
    <col min="1" max="1" width="8.89814814814815" style="251"/>
    <col min="2" max="2" width="29.2962962962963" style="251" customWidth="1"/>
    <col min="3" max="3" width="8.89814814814815" style="251"/>
    <col min="4" max="4" width="40.2962962962963" style="251" customWidth="1"/>
    <col min="5" max="5" width="4" style="251" customWidth="1"/>
    <col min="6" max="7" width="8.89814814814815" style="251" customWidth="1"/>
    <col min="8" max="8" width="8.89814814814815" style="251"/>
    <col min="9" max="9" width="11.7037037037037" style="251" customWidth="1"/>
    <col min="10" max="11" width="9.60185185185185" style="251" customWidth="1"/>
    <col min="12" max="12" width="11.7037037037037" style="251" customWidth="1"/>
    <col min="13" max="14" width="9.60185185185185" style="251" customWidth="1"/>
    <col min="15" max="15" width="11.7037037037037" style="251" customWidth="1"/>
    <col min="16" max="17" width="9.60185185185185" style="251" customWidth="1"/>
    <col min="18" max="18" width="12.1018518518519" style="251" customWidth="1"/>
    <col min="19" max="20" width="9.60185185185185" style="251" customWidth="1"/>
    <col min="21" max="21" width="12.1018518518519" style="251" customWidth="1"/>
    <col min="22" max="23" width="9.60185185185185" style="251" customWidth="1"/>
    <col min="24" max="24" width="12.1018518518519" style="251" customWidth="1"/>
    <col min="25" max="25" width="9.60185185185185" style="251" customWidth="1"/>
    <col min="26" max="26" width="8.89814814814815" style="251"/>
    <col min="27" max="27" width="12.1018518518519" style="251" customWidth="1"/>
    <col min="28" max="28" width="9.60185185185185" style="251" customWidth="1"/>
    <col min="29" max="29" width="8.89814814814815" style="251"/>
    <col min="30" max="30" width="12.1018518518519" style="251" customWidth="1"/>
    <col min="31" max="31" width="9.60185185185185" style="251" customWidth="1"/>
    <col min="32" max="16384" width="8.89814814814815" style="251"/>
  </cols>
  <sheetData>
    <row r="1" spans="1:32">
      <c r="A1" s="251" t="s">
        <v>7</v>
      </c>
      <c r="B1" s="251" t="s">
        <v>9</v>
      </c>
      <c r="C1" s="252">
        <v>0.2</v>
      </c>
      <c r="D1" s="252" t="s">
        <v>20</v>
      </c>
      <c r="E1" s="253">
        <v>1</v>
      </c>
      <c r="F1" s="252" t="s">
        <v>30</v>
      </c>
      <c r="G1" s="254">
        <v>1</v>
      </c>
      <c r="I1" s="251">
        <v>2</v>
      </c>
      <c r="J1" s="251">
        <v>3</v>
      </c>
      <c r="K1" s="251">
        <v>4</v>
      </c>
      <c r="L1" s="251">
        <v>5</v>
      </c>
      <c r="M1" s="251">
        <v>6</v>
      </c>
      <c r="N1" s="251">
        <v>7</v>
      </c>
      <c r="O1" s="251">
        <v>8</v>
      </c>
      <c r="P1" s="251">
        <v>9</v>
      </c>
      <c r="Q1" s="251">
        <v>10</v>
      </c>
      <c r="R1" s="251">
        <v>11</v>
      </c>
      <c r="S1" s="251">
        <v>12</v>
      </c>
      <c r="T1" s="251">
        <v>13</v>
      </c>
      <c r="U1" s="251">
        <v>14</v>
      </c>
      <c r="V1" s="251">
        <v>15</v>
      </c>
      <c r="W1" s="251">
        <v>16</v>
      </c>
      <c r="X1" s="251">
        <v>17</v>
      </c>
      <c r="Y1" s="251">
        <v>18</v>
      </c>
      <c r="Z1" s="251">
        <v>19</v>
      </c>
      <c r="AA1" s="251">
        <v>20</v>
      </c>
      <c r="AB1" s="251">
        <v>21</v>
      </c>
      <c r="AC1" s="251">
        <v>22</v>
      </c>
      <c r="AD1" s="251">
        <v>23</v>
      </c>
      <c r="AE1" s="251">
        <v>24</v>
      </c>
      <c r="AF1" s="251">
        <v>25</v>
      </c>
    </row>
    <row r="2" spans="1:30">
      <c r="A2" s="251" t="s">
        <v>31</v>
      </c>
      <c r="B2" s="251" t="s">
        <v>32</v>
      </c>
      <c r="C2" s="252">
        <v>0.1</v>
      </c>
      <c r="D2" s="252" t="s">
        <v>33</v>
      </c>
      <c r="E2" s="253">
        <v>2</v>
      </c>
      <c r="F2" s="252" t="s">
        <v>17</v>
      </c>
      <c r="G2" s="254">
        <v>2</v>
      </c>
      <c r="I2" s="258">
        <f>'PFR (LINKED)'!H14</f>
        <v>0.04</v>
      </c>
      <c r="L2" s="258">
        <f>'PFR (LINKED)'!J14</f>
        <v>0.05</v>
      </c>
      <c r="O2" s="258">
        <f>'PFR (LINKED)'!K14</f>
        <v>0.07</v>
      </c>
      <c r="R2" s="258">
        <f>'PFR (LINKED)'!L14</f>
        <v>0.08</v>
      </c>
      <c r="U2" s="258">
        <f>'PFR (LINKED)'!M14</f>
        <v>0.09</v>
      </c>
      <c r="X2" s="258">
        <f>'PFR (LINKED)'!N14</f>
        <v>0.1</v>
      </c>
      <c r="AA2" s="258">
        <f>'PFR (LINKED)'!O14</f>
        <v>0.07</v>
      </c>
      <c r="AD2" s="258">
        <f>'PFR (LINKED)'!P14</f>
        <v>0.07</v>
      </c>
    </row>
    <row r="3" spans="1:32">
      <c r="A3" s="251" t="s">
        <v>34</v>
      </c>
      <c r="B3" s="251" t="s">
        <v>35</v>
      </c>
      <c r="C3" s="252">
        <v>0.1</v>
      </c>
      <c r="D3" s="252"/>
      <c r="E3" s="252"/>
      <c r="F3" s="252"/>
      <c r="G3" s="252"/>
      <c r="I3" s="259" t="s">
        <v>36</v>
      </c>
      <c r="J3" s="260">
        <f>I2</f>
        <v>0.04</v>
      </c>
      <c r="K3" s="260" t="s">
        <v>37</v>
      </c>
      <c r="L3" s="259" t="s">
        <v>36</v>
      </c>
      <c r="M3" s="260">
        <f>L2</f>
        <v>0.05</v>
      </c>
      <c r="N3" s="260" t="s">
        <v>37</v>
      </c>
      <c r="O3" s="259" t="s">
        <v>36</v>
      </c>
      <c r="P3" s="260">
        <f>O2</f>
        <v>0.07</v>
      </c>
      <c r="Q3" s="260" t="s">
        <v>37</v>
      </c>
      <c r="R3" s="259" t="s">
        <v>36</v>
      </c>
      <c r="S3" s="260">
        <f>R2</f>
        <v>0.08</v>
      </c>
      <c r="T3" s="260" t="s">
        <v>37</v>
      </c>
      <c r="U3" s="259" t="s">
        <v>36</v>
      </c>
      <c r="V3" s="260">
        <f>U2</f>
        <v>0.09</v>
      </c>
      <c r="W3" s="260" t="s">
        <v>37</v>
      </c>
      <c r="X3" s="259" t="s">
        <v>36</v>
      </c>
      <c r="Y3" s="260">
        <f>X2</f>
        <v>0.1</v>
      </c>
      <c r="Z3" s="266" t="s">
        <v>37</v>
      </c>
      <c r="AA3" s="259" t="s">
        <v>36</v>
      </c>
      <c r="AB3" s="260">
        <f>AA2</f>
        <v>0.07</v>
      </c>
      <c r="AC3" s="266" t="s">
        <v>37</v>
      </c>
      <c r="AD3" s="259" t="s">
        <v>36</v>
      </c>
      <c r="AE3" s="260">
        <f>AD2</f>
        <v>0.07</v>
      </c>
      <c r="AF3" s="266" t="s">
        <v>37</v>
      </c>
    </row>
    <row r="4" spans="2:32">
      <c r="B4" s="251" t="s">
        <v>38</v>
      </c>
      <c r="C4" s="252">
        <v>0.15</v>
      </c>
      <c r="D4" s="252"/>
      <c r="E4" s="252"/>
      <c r="F4" s="252"/>
      <c r="G4" s="252"/>
      <c r="H4" s="251">
        <v>1</v>
      </c>
      <c r="I4" s="261">
        <f>FV($I$2/1,'PFR (LINKED)'!$A15*1,,-'PFR (LINKED)'!$F$12,)</f>
        <v>1040000</v>
      </c>
      <c r="J4" s="262">
        <f>FV(I$2/12,'PFR (LINKED)'!$A15*12,-'PFR (LINKED)'!$F$13,)</f>
        <v>0</v>
      </c>
      <c r="K4" s="262">
        <f>I4+J4</f>
        <v>1040000</v>
      </c>
      <c r="L4" s="261">
        <f>FV($L$2/1,'PFR (LINKED)'!$A15*1,,-'PFR (LINKED)'!$F$12,)</f>
        <v>1050000</v>
      </c>
      <c r="M4" s="262">
        <f>FV(L$2/12,'PFR (LINKED)'!$A15*12,-'PFR (LINKED)'!$F$13,)</f>
        <v>0</v>
      </c>
      <c r="N4" s="262">
        <f>L4+M4</f>
        <v>1050000</v>
      </c>
      <c r="O4" s="261">
        <f>FV($O$2/1,'PFR (LINKED)'!$A15*1,,-'PFR (LINKED)'!$F$12,)</f>
        <v>1070000</v>
      </c>
      <c r="P4" s="262">
        <f>FV(O$2/12,'PFR (LINKED)'!$A15*12,-'PFR (LINKED)'!$F$13,)</f>
        <v>0</v>
      </c>
      <c r="Q4" s="262">
        <f>O4+P4</f>
        <v>1070000</v>
      </c>
      <c r="R4" s="261">
        <f>FV($R$2/1,'PFR (LINKED)'!$A15*1,,-'PFR (LINKED)'!$F$12,)</f>
        <v>1080000</v>
      </c>
      <c r="S4" s="262">
        <f>FV(R$2/12,'PFR (LINKED)'!$A15*12,-'PFR (LINKED)'!$F$13,)</f>
        <v>0</v>
      </c>
      <c r="T4" s="262">
        <f>R4+S4</f>
        <v>1080000</v>
      </c>
      <c r="U4" s="261">
        <f>FV($U$2/1,'PFR (LINKED)'!$A15*1,,-'PFR (LINKED)'!$F$12,)</f>
        <v>1090000</v>
      </c>
      <c r="V4" s="262">
        <f>FV(U$2/12,'PFR (LINKED)'!$A15*12,-'PFR (LINKED)'!$F$13,)</f>
        <v>0</v>
      </c>
      <c r="W4" s="262">
        <f>U4+V4</f>
        <v>1090000</v>
      </c>
      <c r="X4" s="261">
        <f>FV($X$2/1,'PFR (LINKED)'!$A15*1,,-'PFR (LINKED)'!$F$12,)</f>
        <v>1100000</v>
      </c>
      <c r="Y4" s="262">
        <f>FV(X$2/12,'PFR (LINKED)'!$A15*12,-'PFR (LINKED)'!$F$13,)</f>
        <v>0</v>
      </c>
      <c r="Z4" s="262">
        <f>X4+Y4</f>
        <v>1100000</v>
      </c>
      <c r="AA4" s="261">
        <f>FV($AA$2/1,'PFR (LINKED)'!$A15*1,,-'PFR (LINKED)'!$F$12,)</f>
        <v>1070000</v>
      </c>
      <c r="AB4" s="262">
        <f>FV(AA$2/12,'PFR (LINKED)'!$A15*12,-'PFR (LINKED)'!$F$13,)</f>
        <v>0</v>
      </c>
      <c r="AC4" s="262">
        <f>AA4+AB4</f>
        <v>1070000</v>
      </c>
      <c r="AD4" s="261">
        <f>FV($AD$2/1,'PFR (LINKED)'!$A15*1,,-'PFR (LINKED)'!$F$12,)</f>
        <v>1070000</v>
      </c>
      <c r="AE4" s="262">
        <f>FV(AD$2/12,'PFR (LINKED)'!$A15*12,-'PFR (LINKED)'!$F$13,)</f>
        <v>0</v>
      </c>
      <c r="AF4" s="262">
        <f>AD4+AE4</f>
        <v>1070000</v>
      </c>
    </row>
    <row r="5" spans="2:32">
      <c r="B5" s="251" t="s">
        <v>39</v>
      </c>
      <c r="C5" s="252">
        <v>0.1</v>
      </c>
      <c r="D5" s="252"/>
      <c r="E5" s="252"/>
      <c r="F5" s="252"/>
      <c r="G5" s="252"/>
      <c r="H5" s="251">
        <v>2</v>
      </c>
      <c r="I5" s="261">
        <f>FV($I$2/1,'PFR (LINKED)'!$A16*1,,-'PFR (LINKED)'!$F$12,)</f>
        <v>1081600</v>
      </c>
      <c r="J5" s="262">
        <f>FV(I$2/12,'PFR (LINKED)'!$A16*12,-'PFR (LINKED)'!$F$13,)</f>
        <v>0</v>
      </c>
      <c r="K5" s="262">
        <f t="shared" ref="K5:K38" si="0">I5+J5</f>
        <v>1081600</v>
      </c>
      <c r="L5" s="261">
        <f>FV($L$2/1,'PFR (LINKED)'!$A16*1,,-'PFR (LINKED)'!$F$12,)</f>
        <v>1102500</v>
      </c>
      <c r="M5" s="262">
        <f>FV(L$2/12,'PFR (LINKED)'!$A16*12,-'PFR (LINKED)'!$F$13,)</f>
        <v>0</v>
      </c>
      <c r="N5" s="262">
        <f t="shared" ref="N5:N38" si="1">L5+M5</f>
        <v>1102500</v>
      </c>
      <c r="O5" s="261">
        <f>FV($O$2/1,'PFR (LINKED)'!$A16*1,,-'PFR (LINKED)'!$F$12,)</f>
        <v>1144900</v>
      </c>
      <c r="P5" s="262">
        <f>FV(O$2/12,'PFR (LINKED)'!$A16*12,-'PFR (LINKED)'!$F$13,)</f>
        <v>0</v>
      </c>
      <c r="Q5" s="262">
        <f t="shared" ref="Q5:Q38" si="2">O5+P5</f>
        <v>1144900</v>
      </c>
      <c r="R5" s="261">
        <f>FV($R$2/1,'PFR (LINKED)'!$A16*1,,-'PFR (LINKED)'!$F$12,)</f>
        <v>1166400</v>
      </c>
      <c r="S5" s="262">
        <f>FV(R$2/12,'PFR (LINKED)'!$A16*12,-'PFR (LINKED)'!$F$13,)</f>
        <v>0</v>
      </c>
      <c r="T5" s="262">
        <f t="shared" ref="T5:T38" si="3">R5+S5</f>
        <v>1166400</v>
      </c>
      <c r="U5" s="261">
        <f>FV($U$2/1,'PFR (LINKED)'!$A16*1,,-'PFR (LINKED)'!$F$12,)</f>
        <v>1188100</v>
      </c>
      <c r="V5" s="262">
        <f>FV(U$2/12,'PFR (LINKED)'!$A16*12,-'PFR (LINKED)'!$F$13,)</f>
        <v>0</v>
      </c>
      <c r="W5" s="262">
        <f t="shared" ref="W5:W38" si="4">U5+V5</f>
        <v>1188100</v>
      </c>
      <c r="X5" s="261">
        <f>FV($X$2/1,'PFR (LINKED)'!$A16*1,,-'PFR (LINKED)'!$F$12,)</f>
        <v>1210000</v>
      </c>
      <c r="Y5" s="262">
        <f>FV(X$2/12,'PFR (LINKED)'!$A16*12,-'PFR (LINKED)'!$F$13,)</f>
        <v>0</v>
      </c>
      <c r="Z5" s="262">
        <f t="shared" ref="Z5:Z38" si="5">X5+Y5</f>
        <v>1210000</v>
      </c>
      <c r="AA5" s="261">
        <f>FV($AA$2/1,'PFR (LINKED)'!$A16*1,,-'PFR (LINKED)'!$F$12,)</f>
        <v>1144900</v>
      </c>
      <c r="AB5" s="262">
        <f>FV(AA$2/12,'PFR (LINKED)'!$A16*12,-'PFR (LINKED)'!$F$13,)</f>
        <v>0</v>
      </c>
      <c r="AC5" s="262">
        <f t="shared" ref="AC5:AC48" si="6">AA5+AB5</f>
        <v>1144900</v>
      </c>
      <c r="AD5" s="261">
        <f>FV($AD$2/1,'PFR (LINKED)'!$A16*1,,-'PFR (LINKED)'!$F$12,)</f>
        <v>1144900</v>
      </c>
      <c r="AE5" s="262">
        <f>FV(AD$2/12,'PFR (LINKED)'!$A16*12,-'PFR (LINKED)'!$F$13,)</f>
        <v>0</v>
      </c>
      <c r="AF5" s="262">
        <f t="shared" ref="AF5:AF48" si="7">AD5+AE5</f>
        <v>1144900</v>
      </c>
    </row>
    <row r="6" spans="2:32">
      <c r="B6" s="251" t="s">
        <v>40</v>
      </c>
      <c r="C6" s="255">
        <v>0.2</v>
      </c>
      <c r="D6" s="255"/>
      <c r="E6" s="255"/>
      <c r="F6" s="255"/>
      <c r="G6" s="255"/>
      <c r="H6" s="251">
        <v>3</v>
      </c>
      <c r="I6" s="261">
        <f>FV($I$2/1,'PFR (LINKED)'!$A17*1,,-'PFR (LINKED)'!$F$12,)</f>
        <v>1124864</v>
      </c>
      <c r="J6" s="262">
        <f>FV(I$2/12,'PFR (LINKED)'!$A17*12,-'PFR (LINKED)'!$F$13,)</f>
        <v>0</v>
      </c>
      <c r="K6" s="262">
        <f t="shared" si="0"/>
        <v>1124864</v>
      </c>
      <c r="L6" s="261">
        <f>FV($L$2/1,'PFR (LINKED)'!$A17*1,,-'PFR (LINKED)'!$F$12,)</f>
        <v>1157625</v>
      </c>
      <c r="M6" s="262">
        <f>FV(L$2/12,'PFR (LINKED)'!$A17*12,-'PFR (LINKED)'!$F$13,)</f>
        <v>0</v>
      </c>
      <c r="N6" s="262">
        <f t="shared" si="1"/>
        <v>1157625</v>
      </c>
      <c r="O6" s="261">
        <f>FV($O$2/1,'PFR (LINKED)'!$A17*1,,-'PFR (LINKED)'!$F$12,)</f>
        <v>1225043</v>
      </c>
      <c r="P6" s="262">
        <f>FV(O$2/12,'PFR (LINKED)'!$A17*12,-'PFR (LINKED)'!$F$13,)</f>
        <v>0</v>
      </c>
      <c r="Q6" s="262">
        <f t="shared" si="2"/>
        <v>1225043</v>
      </c>
      <c r="R6" s="261">
        <f>FV($R$2/1,'PFR (LINKED)'!$A17*1,,-'PFR (LINKED)'!$F$12,)</f>
        <v>1259712</v>
      </c>
      <c r="S6" s="262">
        <f>FV(R$2/12,'PFR (LINKED)'!$A17*12,-'PFR (LINKED)'!$F$13,)</f>
        <v>0</v>
      </c>
      <c r="T6" s="262">
        <f t="shared" si="3"/>
        <v>1259712</v>
      </c>
      <c r="U6" s="261">
        <f>FV($U$2/1,'PFR (LINKED)'!$A17*1,,-'PFR (LINKED)'!$F$12,)</f>
        <v>1295029</v>
      </c>
      <c r="V6" s="262">
        <f>FV(U$2/12,'PFR (LINKED)'!$A17*12,-'PFR (LINKED)'!$F$13,)</f>
        <v>0</v>
      </c>
      <c r="W6" s="262">
        <f t="shared" si="4"/>
        <v>1295029</v>
      </c>
      <c r="X6" s="261">
        <f>FV($X$2/1,'PFR (LINKED)'!$A17*1,,-'PFR (LINKED)'!$F$12,)</f>
        <v>1331000</v>
      </c>
      <c r="Y6" s="262">
        <f>FV(X$2/12,'PFR (LINKED)'!$A17*12,-'PFR (LINKED)'!$F$13,)</f>
        <v>0</v>
      </c>
      <c r="Z6" s="262">
        <f t="shared" si="5"/>
        <v>1331000</v>
      </c>
      <c r="AA6" s="261">
        <f>FV($AA$2/1,'PFR (LINKED)'!$A17*1,,-'PFR (LINKED)'!$F$12,)</f>
        <v>1225043</v>
      </c>
      <c r="AB6" s="262">
        <f>FV(AA$2/12,'PFR (LINKED)'!$A17*12,-'PFR (LINKED)'!$F$13,)</f>
        <v>0</v>
      </c>
      <c r="AC6" s="262">
        <f t="shared" si="6"/>
        <v>1225043</v>
      </c>
      <c r="AD6" s="261">
        <f>FV($AD$2/1,'PFR (LINKED)'!$A17*1,,-'PFR (LINKED)'!$F$12,)</f>
        <v>1225043</v>
      </c>
      <c r="AE6" s="262">
        <f>FV(AD$2/12,'PFR (LINKED)'!$A17*12,-'PFR (LINKED)'!$F$13,)</f>
        <v>0</v>
      </c>
      <c r="AF6" s="262">
        <f t="shared" si="7"/>
        <v>1225043</v>
      </c>
    </row>
    <row r="7" spans="2:32">
      <c r="B7" s="251" t="s">
        <v>41</v>
      </c>
      <c r="C7" s="252">
        <v>0.1</v>
      </c>
      <c r="D7" s="256"/>
      <c r="E7" s="252"/>
      <c r="F7" s="252">
        <v>0.04</v>
      </c>
      <c r="G7" s="255"/>
      <c r="H7" s="251">
        <v>4</v>
      </c>
      <c r="I7" s="261">
        <f>FV($I$2/1,'PFR (LINKED)'!$A18*1,,-'PFR (LINKED)'!$F$12,)</f>
        <v>1169858.56</v>
      </c>
      <c r="J7" s="262">
        <f>FV(I$2/12,'PFR (LINKED)'!$A18*12,-'PFR (LINKED)'!$F$13,)</f>
        <v>0</v>
      </c>
      <c r="K7" s="262">
        <f t="shared" si="0"/>
        <v>1169858.56</v>
      </c>
      <c r="L7" s="261">
        <f>FV($L$2/1,'PFR (LINKED)'!$A18*1,,-'PFR (LINKED)'!$F$12,)</f>
        <v>1215506.25</v>
      </c>
      <c r="M7" s="262">
        <f>FV(L$2/12,'PFR (LINKED)'!$A18*12,-'PFR (LINKED)'!$F$13,)</f>
        <v>0</v>
      </c>
      <c r="N7" s="262">
        <f t="shared" si="1"/>
        <v>1215506.25</v>
      </c>
      <c r="O7" s="261">
        <f>FV($O$2/1,'PFR (LINKED)'!$A18*1,,-'PFR (LINKED)'!$F$12,)</f>
        <v>1310796.01</v>
      </c>
      <c r="P7" s="262">
        <f>FV(O$2/12,'PFR (LINKED)'!$A18*12,-'PFR (LINKED)'!$F$13,)</f>
        <v>0</v>
      </c>
      <c r="Q7" s="262">
        <f t="shared" si="2"/>
        <v>1310796.01</v>
      </c>
      <c r="R7" s="261">
        <f>FV($R$2/1,'PFR (LINKED)'!$A18*1,,-'PFR (LINKED)'!$F$12,)</f>
        <v>1360488.96</v>
      </c>
      <c r="S7" s="262">
        <f>FV(R$2/12,'PFR (LINKED)'!$A18*12,-'PFR (LINKED)'!$F$13,)</f>
        <v>0</v>
      </c>
      <c r="T7" s="262">
        <f t="shared" si="3"/>
        <v>1360488.96</v>
      </c>
      <c r="U7" s="261">
        <f>FV($U$2/1,'PFR (LINKED)'!$A18*1,,-'PFR (LINKED)'!$F$12,)</f>
        <v>1411581.61</v>
      </c>
      <c r="V7" s="262">
        <f>FV(U$2/12,'PFR (LINKED)'!$A18*12,-'PFR (LINKED)'!$F$13,)</f>
        <v>0</v>
      </c>
      <c r="W7" s="262">
        <f t="shared" si="4"/>
        <v>1411581.61</v>
      </c>
      <c r="X7" s="261">
        <f>FV($X$2/1,'PFR (LINKED)'!$A18*1,,-'PFR (LINKED)'!$F$12,)</f>
        <v>1464100</v>
      </c>
      <c r="Y7" s="262">
        <f>FV(X$2/12,'PFR (LINKED)'!$A18*12,-'PFR (LINKED)'!$F$13,)</f>
        <v>0</v>
      </c>
      <c r="Z7" s="262">
        <f t="shared" si="5"/>
        <v>1464100</v>
      </c>
      <c r="AA7" s="261">
        <f>FV($AA$2/1,'PFR (LINKED)'!$A18*1,,-'PFR (LINKED)'!$F$12,)</f>
        <v>1310796.01</v>
      </c>
      <c r="AB7" s="262">
        <f>FV(AA$2/12,'PFR (LINKED)'!$A18*12,-'PFR (LINKED)'!$F$13,)</f>
        <v>0</v>
      </c>
      <c r="AC7" s="262">
        <f t="shared" si="6"/>
        <v>1310796.01</v>
      </c>
      <c r="AD7" s="261">
        <f>FV($AD$2/1,'PFR (LINKED)'!$A18*1,,-'PFR (LINKED)'!$F$12,)</f>
        <v>1310796.01</v>
      </c>
      <c r="AE7" s="262">
        <f>FV(AD$2/12,'PFR (LINKED)'!$A18*12,-'PFR (LINKED)'!$F$13,)</f>
        <v>0</v>
      </c>
      <c r="AF7" s="262">
        <f t="shared" si="7"/>
        <v>1310796.01</v>
      </c>
    </row>
    <row r="8" spans="6:32">
      <c r="F8" s="252">
        <v>0.05</v>
      </c>
      <c r="G8" s="255"/>
      <c r="H8" s="251">
        <v>5</v>
      </c>
      <c r="I8" s="261">
        <f>FV($I$2/1,'PFR (LINKED)'!$A19*1,,-'PFR (LINKED)'!$F$12,)</f>
        <v>1216652.9024</v>
      </c>
      <c r="J8" s="262">
        <f>FV(I$2/12,'PFR (LINKED)'!$A19*12,-'PFR (LINKED)'!$F$13,)</f>
        <v>0</v>
      </c>
      <c r="K8" s="262">
        <f t="shared" si="0"/>
        <v>1216652.9024</v>
      </c>
      <c r="L8" s="261">
        <f>FV($L$2/1,'PFR (LINKED)'!$A19*1,,-'PFR (LINKED)'!$F$12,)</f>
        <v>1276281.5625</v>
      </c>
      <c r="M8" s="262">
        <f>FV(L$2/12,'PFR (LINKED)'!$A19*12,-'PFR (LINKED)'!$F$13,)</f>
        <v>0</v>
      </c>
      <c r="N8" s="262">
        <f t="shared" si="1"/>
        <v>1276281.5625</v>
      </c>
      <c r="O8" s="261">
        <f>FV($O$2/1,'PFR (LINKED)'!$A19*1,,-'PFR (LINKED)'!$F$12,)</f>
        <v>1402551.7307</v>
      </c>
      <c r="P8" s="262">
        <f>FV(O$2/12,'PFR (LINKED)'!$A19*12,-'PFR (LINKED)'!$F$13,)</f>
        <v>0</v>
      </c>
      <c r="Q8" s="262">
        <f t="shared" si="2"/>
        <v>1402551.7307</v>
      </c>
      <c r="R8" s="261">
        <f>FV($R$2/1,'PFR (LINKED)'!$A19*1,,-'PFR (LINKED)'!$F$12,)</f>
        <v>1469328.0768</v>
      </c>
      <c r="S8" s="262">
        <f>FV(R$2/12,'PFR (LINKED)'!$A19*12,-'PFR (LINKED)'!$F$13,)</f>
        <v>0</v>
      </c>
      <c r="T8" s="262">
        <f t="shared" si="3"/>
        <v>1469328.0768</v>
      </c>
      <c r="U8" s="261">
        <f>FV($U$2/1,'PFR (LINKED)'!$A19*1,,-'PFR (LINKED)'!$F$12,)</f>
        <v>1538623.9549</v>
      </c>
      <c r="V8" s="262">
        <f>FV(U$2/12,'PFR (LINKED)'!$A19*12,-'PFR (LINKED)'!$F$13,)</f>
        <v>0</v>
      </c>
      <c r="W8" s="262">
        <f t="shared" si="4"/>
        <v>1538623.9549</v>
      </c>
      <c r="X8" s="261">
        <f>FV($X$2/1,'PFR (LINKED)'!$A19*1,,-'PFR (LINKED)'!$F$12,)</f>
        <v>1610510</v>
      </c>
      <c r="Y8" s="262">
        <f>FV(X$2/12,'PFR (LINKED)'!$A19*12,-'PFR (LINKED)'!$F$13,)</f>
        <v>0</v>
      </c>
      <c r="Z8" s="262">
        <f t="shared" si="5"/>
        <v>1610510</v>
      </c>
      <c r="AA8" s="261">
        <f>FV($AA$2/1,'PFR (LINKED)'!$A19*1,,-'PFR (LINKED)'!$F$12,)</f>
        <v>1402551.7307</v>
      </c>
      <c r="AB8" s="262">
        <f>FV(AA$2/12,'PFR (LINKED)'!$A19*12,-'PFR (LINKED)'!$F$13,)</f>
        <v>0</v>
      </c>
      <c r="AC8" s="262">
        <f t="shared" si="6"/>
        <v>1402551.7307</v>
      </c>
      <c r="AD8" s="261">
        <f>FV($AD$2/1,'PFR (LINKED)'!$A19*1,,-'PFR (LINKED)'!$F$12,)</f>
        <v>1402551.7307</v>
      </c>
      <c r="AE8" s="262">
        <f>FV(AD$2/12,'PFR (LINKED)'!$A19*12,-'PFR (LINKED)'!$F$13,)</f>
        <v>0</v>
      </c>
      <c r="AF8" s="262">
        <f t="shared" si="7"/>
        <v>1402551.7307</v>
      </c>
    </row>
    <row r="9" spans="6:32">
      <c r="F9" s="252">
        <v>0.06</v>
      </c>
      <c r="G9" s="255"/>
      <c r="H9" s="251">
        <v>6</v>
      </c>
      <c r="I9" s="261">
        <f>FV($I$2/1,'PFR (LINKED)'!$A20*1,,-'PFR (LINKED)'!$F$12,)</f>
        <v>1265319.018496</v>
      </c>
      <c r="J9" s="262">
        <f>FV(I$2/12,'PFR (LINKED)'!$A20*12,-'PFR (LINKED)'!$F$13,)</f>
        <v>0</v>
      </c>
      <c r="K9" s="262">
        <f t="shared" si="0"/>
        <v>1265319.018496</v>
      </c>
      <c r="L9" s="261">
        <f>FV($L$2/1,'PFR (LINKED)'!$A20*1,,-'PFR (LINKED)'!$F$12,)</f>
        <v>1340095.640625</v>
      </c>
      <c r="M9" s="262">
        <f>FV(L$2/12,'PFR (LINKED)'!$A20*12,-'PFR (LINKED)'!$F$13,)</f>
        <v>0</v>
      </c>
      <c r="N9" s="262">
        <f t="shared" si="1"/>
        <v>1340095.640625</v>
      </c>
      <c r="O9" s="261">
        <f>FV($O$2/1,'PFR (LINKED)'!$A20*1,,-'PFR (LINKED)'!$F$12,)</f>
        <v>1500730.351849</v>
      </c>
      <c r="P9" s="262">
        <f>FV(O$2/12,'PFR (LINKED)'!$A20*12,-'PFR (LINKED)'!$F$13,)</f>
        <v>0</v>
      </c>
      <c r="Q9" s="262">
        <f t="shared" si="2"/>
        <v>1500730.351849</v>
      </c>
      <c r="R9" s="261">
        <f>FV($R$2/1,'PFR (LINKED)'!$A20*1,,-'PFR (LINKED)'!$F$12,)</f>
        <v>1586874.322944</v>
      </c>
      <c r="S9" s="262">
        <f>FV(R$2/12,'PFR (LINKED)'!$A20*12,-'PFR (LINKED)'!$F$13,)</f>
        <v>0</v>
      </c>
      <c r="T9" s="262">
        <f t="shared" si="3"/>
        <v>1586874.322944</v>
      </c>
      <c r="U9" s="261">
        <f>FV($U$2/1,'PFR (LINKED)'!$A20*1,,-'PFR (LINKED)'!$F$12,)</f>
        <v>1677100.110841</v>
      </c>
      <c r="V9" s="262">
        <f>FV(U$2/12,'PFR (LINKED)'!$A20*12,-'PFR (LINKED)'!$F$13,)</f>
        <v>0</v>
      </c>
      <c r="W9" s="262">
        <f t="shared" si="4"/>
        <v>1677100.110841</v>
      </c>
      <c r="X9" s="261">
        <f>FV($X$2/1,'PFR (LINKED)'!$A20*1,,-'PFR (LINKED)'!$F$12,)</f>
        <v>1771561</v>
      </c>
      <c r="Y9" s="262">
        <f>FV(X$2/12,'PFR (LINKED)'!$A20*12,-'PFR (LINKED)'!$F$13,)</f>
        <v>0</v>
      </c>
      <c r="Z9" s="262">
        <f t="shared" si="5"/>
        <v>1771561</v>
      </c>
      <c r="AA9" s="261">
        <f>FV($AA$2/1,'PFR (LINKED)'!$A20*1,,-'PFR (LINKED)'!$F$12,)</f>
        <v>1500730.351849</v>
      </c>
      <c r="AB9" s="262">
        <f>FV(AA$2/12,'PFR (LINKED)'!$A20*12,-'PFR (LINKED)'!$F$13,)</f>
        <v>0</v>
      </c>
      <c r="AC9" s="262">
        <f t="shared" si="6"/>
        <v>1500730.351849</v>
      </c>
      <c r="AD9" s="261">
        <f>FV($AD$2/1,'PFR (LINKED)'!$A20*1,,-'PFR (LINKED)'!$F$12,)</f>
        <v>1500730.351849</v>
      </c>
      <c r="AE9" s="262">
        <f>FV(AD$2/12,'PFR (LINKED)'!$A20*12,-'PFR (LINKED)'!$F$13,)</f>
        <v>0</v>
      </c>
      <c r="AF9" s="262">
        <f t="shared" si="7"/>
        <v>1500730.351849</v>
      </c>
    </row>
    <row r="10" spans="6:32">
      <c r="F10" s="252">
        <v>0.07</v>
      </c>
      <c r="G10" s="255"/>
      <c r="H10" s="251">
        <v>7</v>
      </c>
      <c r="I10" s="261">
        <f>FV($I$2/1,'PFR (LINKED)'!$A21*1,,-'PFR (LINKED)'!$F$12,)</f>
        <v>1315931.77923584</v>
      </c>
      <c r="J10" s="262">
        <f>FV(I$2/12,'PFR (LINKED)'!$A21*12,-'PFR (LINKED)'!$F$13,)</f>
        <v>0</v>
      </c>
      <c r="K10" s="262">
        <f t="shared" si="0"/>
        <v>1315931.77923584</v>
      </c>
      <c r="L10" s="261">
        <f>FV($L$2/1,'PFR (LINKED)'!$A21*1,,-'PFR (LINKED)'!$F$12,)</f>
        <v>1407100.42265625</v>
      </c>
      <c r="M10" s="262">
        <f>FV(L$2/12,'PFR (LINKED)'!$A21*12,-'PFR (LINKED)'!$F$13,)</f>
        <v>0</v>
      </c>
      <c r="N10" s="262">
        <f t="shared" si="1"/>
        <v>1407100.42265625</v>
      </c>
      <c r="O10" s="261">
        <f>FV($O$2/1,'PFR (LINKED)'!$A21*1,,-'PFR (LINKED)'!$F$12,)</f>
        <v>1605781.47647843</v>
      </c>
      <c r="P10" s="262">
        <f>FV(O$2/12,'PFR (LINKED)'!$A21*12,-'PFR (LINKED)'!$F$13,)</f>
        <v>0</v>
      </c>
      <c r="Q10" s="262">
        <f t="shared" si="2"/>
        <v>1605781.47647843</v>
      </c>
      <c r="R10" s="261">
        <f>FV($R$2/1,'PFR (LINKED)'!$A21*1,,-'PFR (LINKED)'!$F$12,)</f>
        <v>1713824.26877952</v>
      </c>
      <c r="S10" s="262">
        <f>FV(R$2/12,'PFR (LINKED)'!$A21*12,-'PFR (LINKED)'!$F$13,)</f>
        <v>0</v>
      </c>
      <c r="T10" s="262">
        <f t="shared" si="3"/>
        <v>1713824.26877952</v>
      </c>
      <c r="U10" s="261">
        <f>FV($U$2/1,'PFR (LINKED)'!$A21*1,,-'PFR (LINKED)'!$F$12,)</f>
        <v>1828039.12081669</v>
      </c>
      <c r="V10" s="262">
        <f>FV(U$2/12,'PFR (LINKED)'!$A21*12,-'PFR (LINKED)'!$F$13,)</f>
        <v>0</v>
      </c>
      <c r="W10" s="262">
        <f t="shared" si="4"/>
        <v>1828039.12081669</v>
      </c>
      <c r="X10" s="261">
        <f>FV($X$2/1,'PFR (LINKED)'!$A21*1,,-'PFR (LINKED)'!$F$12,)</f>
        <v>1948717.1</v>
      </c>
      <c r="Y10" s="262">
        <f>FV(X$2/12,'PFR (LINKED)'!$A21*12,-'PFR (LINKED)'!$F$13,)</f>
        <v>0</v>
      </c>
      <c r="Z10" s="262">
        <f t="shared" si="5"/>
        <v>1948717.1</v>
      </c>
      <c r="AA10" s="261">
        <f>FV($AA$2/1,'PFR (LINKED)'!$A21*1,,-'PFR (LINKED)'!$F$12,)</f>
        <v>1605781.47647843</v>
      </c>
      <c r="AB10" s="262">
        <f>FV(AA$2/12,'PFR (LINKED)'!$A21*12,-'PFR (LINKED)'!$F$13,)</f>
        <v>0</v>
      </c>
      <c r="AC10" s="262">
        <f t="shared" si="6"/>
        <v>1605781.47647843</v>
      </c>
      <c r="AD10" s="261">
        <f>FV($AD$2/1,'PFR (LINKED)'!$A21*1,,-'PFR (LINKED)'!$F$12,)</f>
        <v>1605781.47647843</v>
      </c>
      <c r="AE10" s="262">
        <f>FV(AD$2/12,'PFR (LINKED)'!$A21*12,-'PFR (LINKED)'!$F$13,)</f>
        <v>0</v>
      </c>
      <c r="AF10" s="262">
        <f t="shared" si="7"/>
        <v>1605781.47647843</v>
      </c>
    </row>
    <row r="11" spans="6:32">
      <c r="F11" s="252">
        <v>0.08</v>
      </c>
      <c r="G11" s="255"/>
      <c r="H11" s="251">
        <v>8</v>
      </c>
      <c r="I11" s="261">
        <f>FV($I$2/1,'PFR (LINKED)'!$A22*1,,-'PFR (LINKED)'!$F$12,)</f>
        <v>1368569.05040527</v>
      </c>
      <c r="J11" s="262">
        <f>FV(I$2/12,'PFR (LINKED)'!$A22*12,-'PFR (LINKED)'!$F$13,)</f>
        <v>0</v>
      </c>
      <c r="K11" s="262">
        <f t="shared" si="0"/>
        <v>1368569.05040527</v>
      </c>
      <c r="L11" s="261">
        <f>FV($L$2/1,'PFR (LINKED)'!$A22*1,,-'PFR (LINKED)'!$F$12,)</f>
        <v>1477455.44378906</v>
      </c>
      <c r="M11" s="262">
        <f>FV(L$2/12,'PFR (LINKED)'!$A22*12,-'PFR (LINKED)'!$F$13,)</f>
        <v>0</v>
      </c>
      <c r="N11" s="262">
        <f t="shared" si="1"/>
        <v>1477455.44378906</v>
      </c>
      <c r="O11" s="261">
        <f>FV($O$2/1,'PFR (LINKED)'!$A22*1,,-'PFR (LINKED)'!$F$12,)</f>
        <v>1718186.17983192</v>
      </c>
      <c r="P11" s="262">
        <f>FV(O$2/12,'PFR (LINKED)'!$A22*12,-'PFR (LINKED)'!$F$13,)</f>
        <v>0</v>
      </c>
      <c r="Q11" s="262">
        <f t="shared" si="2"/>
        <v>1718186.17983192</v>
      </c>
      <c r="R11" s="261">
        <f>FV($R$2/1,'PFR (LINKED)'!$A22*1,,-'PFR (LINKED)'!$F$12,)</f>
        <v>1850930.21028188</v>
      </c>
      <c r="S11" s="262">
        <f>FV(R$2/12,'PFR (LINKED)'!$A22*12,-'PFR (LINKED)'!$F$13,)</f>
        <v>0</v>
      </c>
      <c r="T11" s="262">
        <f t="shared" si="3"/>
        <v>1850930.21028188</v>
      </c>
      <c r="U11" s="261">
        <f>FV($U$2/1,'PFR (LINKED)'!$A22*1,,-'PFR (LINKED)'!$F$12,)</f>
        <v>1992562.64169019</v>
      </c>
      <c r="V11" s="262">
        <f>FV(U$2/12,'PFR (LINKED)'!$A22*12,-'PFR (LINKED)'!$F$13,)</f>
        <v>0</v>
      </c>
      <c r="W11" s="262">
        <f t="shared" si="4"/>
        <v>1992562.64169019</v>
      </c>
      <c r="X11" s="261">
        <f>FV($X$2/1,'PFR (LINKED)'!$A22*1,,-'PFR (LINKED)'!$F$12,)</f>
        <v>2143588.81</v>
      </c>
      <c r="Y11" s="262">
        <f>FV(X$2/12,'PFR (LINKED)'!$A22*12,-'PFR (LINKED)'!$F$13,)</f>
        <v>0</v>
      </c>
      <c r="Z11" s="262">
        <f t="shared" si="5"/>
        <v>2143588.81</v>
      </c>
      <c r="AA11" s="261">
        <f>FV($AA$2/1,'PFR (LINKED)'!$A22*1,,-'PFR (LINKED)'!$F$12,)</f>
        <v>1718186.17983192</v>
      </c>
      <c r="AB11" s="262">
        <f>FV(AA$2/12,'PFR (LINKED)'!$A22*12,-'PFR (LINKED)'!$F$13,)</f>
        <v>0</v>
      </c>
      <c r="AC11" s="262">
        <f t="shared" si="6"/>
        <v>1718186.17983192</v>
      </c>
      <c r="AD11" s="261">
        <f>FV($AD$2/1,'PFR (LINKED)'!$A22*1,,-'PFR (LINKED)'!$F$12,)</f>
        <v>1718186.17983192</v>
      </c>
      <c r="AE11" s="262">
        <f>FV(AD$2/12,'PFR (LINKED)'!$A22*12,-'PFR (LINKED)'!$F$13,)</f>
        <v>0</v>
      </c>
      <c r="AF11" s="262">
        <f t="shared" si="7"/>
        <v>1718186.17983192</v>
      </c>
    </row>
    <row r="12" spans="6:32">
      <c r="F12" s="252">
        <v>0.09</v>
      </c>
      <c r="H12" s="251">
        <v>9</v>
      </c>
      <c r="I12" s="261">
        <f>FV($I$2/1,'PFR (LINKED)'!$A23*1,,-'PFR (LINKED)'!$F$12,)</f>
        <v>1423311.81242149</v>
      </c>
      <c r="J12" s="262">
        <f>FV(I$2/12,'PFR (LINKED)'!$A23*12,-'PFR (LINKED)'!$F$13,)</f>
        <v>0</v>
      </c>
      <c r="K12" s="262">
        <f t="shared" si="0"/>
        <v>1423311.81242149</v>
      </c>
      <c r="L12" s="261">
        <f>FV($L$2/1,'PFR (LINKED)'!$A23*1,,-'PFR (LINKED)'!$F$12,)</f>
        <v>1551328.21597852</v>
      </c>
      <c r="M12" s="262">
        <f>FV(L$2/12,'PFR (LINKED)'!$A23*12,-'PFR (LINKED)'!$F$13,)</f>
        <v>0</v>
      </c>
      <c r="N12" s="262">
        <f t="shared" si="1"/>
        <v>1551328.21597852</v>
      </c>
      <c r="O12" s="261">
        <f>FV($O$2/1,'PFR (LINKED)'!$A23*1,,-'PFR (LINKED)'!$F$12,)</f>
        <v>1838459.21242016</v>
      </c>
      <c r="P12" s="262">
        <f>FV(O$2/12,'PFR (LINKED)'!$A23*12,-'PFR (LINKED)'!$F$13,)</f>
        <v>0</v>
      </c>
      <c r="Q12" s="262">
        <f t="shared" si="2"/>
        <v>1838459.21242016</v>
      </c>
      <c r="R12" s="261">
        <f>FV($R$2/1,'PFR (LINKED)'!$A23*1,,-'PFR (LINKED)'!$F$12,)</f>
        <v>1999004.62710443</v>
      </c>
      <c r="S12" s="262">
        <f>FV(R$2/12,'PFR (LINKED)'!$A23*12,-'PFR (LINKED)'!$F$13,)</f>
        <v>0</v>
      </c>
      <c r="T12" s="262">
        <f t="shared" si="3"/>
        <v>1999004.62710443</v>
      </c>
      <c r="U12" s="261">
        <f>FV($U$2/1,'PFR (LINKED)'!$A23*1,,-'PFR (LINKED)'!$F$12,)</f>
        <v>2171893.27944231</v>
      </c>
      <c r="V12" s="262">
        <f>FV(U$2/12,'PFR (LINKED)'!$A23*12,-'PFR (LINKED)'!$F$13,)</f>
        <v>0</v>
      </c>
      <c r="W12" s="262">
        <f t="shared" si="4"/>
        <v>2171893.27944231</v>
      </c>
      <c r="X12" s="261">
        <f>FV($X$2/1,'PFR (LINKED)'!$A23*1,,-'PFR (LINKED)'!$F$12,)</f>
        <v>2357947.691</v>
      </c>
      <c r="Y12" s="262">
        <f>FV(X$2/12,'PFR (LINKED)'!$A23*12,-'PFR (LINKED)'!$F$13,)</f>
        <v>0</v>
      </c>
      <c r="Z12" s="262">
        <f t="shared" si="5"/>
        <v>2357947.691</v>
      </c>
      <c r="AA12" s="261">
        <f>FV($AA$2/1,'PFR (LINKED)'!$A23*1,,-'PFR (LINKED)'!$F$12,)</f>
        <v>1838459.21242016</v>
      </c>
      <c r="AB12" s="262">
        <f>FV(AA$2/12,'PFR (LINKED)'!$A23*12,-'PFR (LINKED)'!$F$13,)</f>
        <v>0</v>
      </c>
      <c r="AC12" s="262">
        <f t="shared" si="6"/>
        <v>1838459.21242016</v>
      </c>
      <c r="AD12" s="261">
        <f>FV($AD$2/1,'PFR (LINKED)'!$A23*1,,-'PFR (LINKED)'!$F$12,)</f>
        <v>1838459.21242016</v>
      </c>
      <c r="AE12" s="262">
        <f>FV(AD$2/12,'PFR (LINKED)'!$A23*12,-'PFR (LINKED)'!$F$13,)</f>
        <v>0</v>
      </c>
      <c r="AF12" s="262">
        <f t="shared" si="7"/>
        <v>1838459.21242016</v>
      </c>
    </row>
    <row r="13" spans="8:32">
      <c r="H13" s="251">
        <v>10</v>
      </c>
      <c r="I13" s="261">
        <f>FV($I$2/1,'PFR (LINKED)'!$A24*1,,-'PFR (LINKED)'!$F$12,)</f>
        <v>1480244.28491834</v>
      </c>
      <c r="J13" s="262">
        <f>FV(I$2/12,'PFR (LINKED)'!$A24*12,-'PFR (LINKED)'!$F$13,)</f>
        <v>0</v>
      </c>
      <c r="K13" s="262">
        <f t="shared" si="0"/>
        <v>1480244.28491834</v>
      </c>
      <c r="L13" s="261">
        <f>FV($L$2/1,'PFR (LINKED)'!$A24*1,,-'PFR (LINKED)'!$F$12,)</f>
        <v>1628894.62677744</v>
      </c>
      <c r="M13" s="262">
        <f>FV(L$2/12,'PFR (LINKED)'!$A24*12,-'PFR (LINKED)'!$F$13,)</f>
        <v>0</v>
      </c>
      <c r="N13" s="262">
        <f t="shared" si="1"/>
        <v>1628894.62677744</v>
      </c>
      <c r="O13" s="261">
        <f>FV($O$2/1,'PFR (LINKED)'!$A24*1,,-'PFR (LINKED)'!$F$12,)</f>
        <v>1967151.35728957</v>
      </c>
      <c r="P13" s="262">
        <f>FV(O$2/12,'PFR (LINKED)'!$A24*12,-'PFR (LINKED)'!$F$13,)</f>
        <v>0</v>
      </c>
      <c r="Q13" s="262">
        <f t="shared" si="2"/>
        <v>1967151.35728957</v>
      </c>
      <c r="R13" s="261">
        <f>FV($R$2/1,'PFR (LINKED)'!$A24*1,,-'PFR (LINKED)'!$F$12,)</f>
        <v>2158924.99727279</v>
      </c>
      <c r="S13" s="262">
        <f>FV(R$2/12,'PFR (LINKED)'!$A24*12,-'PFR (LINKED)'!$F$13,)</f>
        <v>0</v>
      </c>
      <c r="T13" s="262">
        <f t="shared" si="3"/>
        <v>2158924.99727279</v>
      </c>
      <c r="U13" s="261">
        <f>FV($U$2/1,'PFR (LINKED)'!$A24*1,,-'PFR (LINKED)'!$F$12,)</f>
        <v>2367363.67459212</v>
      </c>
      <c r="V13" s="262">
        <f>FV(U$2/12,'PFR (LINKED)'!$A24*12,-'PFR (LINKED)'!$F$13,)</f>
        <v>0</v>
      </c>
      <c r="W13" s="262">
        <f t="shared" si="4"/>
        <v>2367363.67459212</v>
      </c>
      <c r="X13" s="261">
        <f>FV($X$2/1,'PFR (LINKED)'!$A24*1,,-'PFR (LINKED)'!$F$12,)</f>
        <v>2593742.4601</v>
      </c>
      <c r="Y13" s="262">
        <f>FV(X$2/12,'PFR (LINKED)'!$A24*12,-'PFR (LINKED)'!$F$13,)</f>
        <v>0</v>
      </c>
      <c r="Z13" s="262">
        <f t="shared" si="5"/>
        <v>2593742.4601</v>
      </c>
      <c r="AA13" s="261">
        <f>FV($AA$2/1,'PFR (LINKED)'!$A24*1,,-'PFR (LINKED)'!$F$12,)</f>
        <v>1967151.35728957</v>
      </c>
      <c r="AB13" s="262">
        <f>FV(AA$2/12,'PFR (LINKED)'!$A24*12,-'PFR (LINKED)'!$F$13,)</f>
        <v>0</v>
      </c>
      <c r="AC13" s="262">
        <f t="shared" si="6"/>
        <v>1967151.35728957</v>
      </c>
      <c r="AD13" s="261">
        <f>FV($AD$2/1,'PFR (LINKED)'!$A24*1,,-'PFR (LINKED)'!$F$12,)</f>
        <v>1967151.35728957</v>
      </c>
      <c r="AE13" s="262">
        <f>FV(AD$2/12,'PFR (LINKED)'!$A24*12,-'PFR (LINKED)'!$F$13,)</f>
        <v>0</v>
      </c>
      <c r="AF13" s="262">
        <f t="shared" si="7"/>
        <v>1967151.35728957</v>
      </c>
    </row>
    <row r="14" spans="8:32">
      <c r="H14" s="251">
        <v>11</v>
      </c>
      <c r="I14" s="261">
        <f>FV($I$2/1,'PFR (LINKED)'!$A25*1,,-'PFR (LINKED)'!$F$12,)</f>
        <v>1539454.05631508</v>
      </c>
      <c r="J14" s="262">
        <f>FV(I$2/12,'PFR (LINKED)'!$A25*12,-'PFR (LINKED)'!$F$13,)</f>
        <v>0</v>
      </c>
      <c r="K14" s="262">
        <f t="shared" si="0"/>
        <v>1539454.05631508</v>
      </c>
      <c r="L14" s="261">
        <f>FV($L$2/1,'PFR (LINKED)'!$A25*1,,-'PFR (LINKED)'!$F$12,)</f>
        <v>1710339.35811631</v>
      </c>
      <c r="M14" s="262">
        <f>FV(L$2/12,'PFR (LINKED)'!$A25*12,-'PFR (LINKED)'!$F$13,)</f>
        <v>0</v>
      </c>
      <c r="N14" s="262">
        <f t="shared" si="1"/>
        <v>1710339.35811631</v>
      </c>
      <c r="O14" s="261">
        <f>FV($O$2/1,'PFR (LINKED)'!$A25*1,,-'PFR (LINKED)'!$F$12,)</f>
        <v>2104851.95229984</v>
      </c>
      <c r="P14" s="262">
        <f>FV(O$2/12,'PFR (LINKED)'!$A25*12,-'PFR (LINKED)'!$F$13,)</f>
        <v>0</v>
      </c>
      <c r="Q14" s="262">
        <f t="shared" si="2"/>
        <v>2104851.95229984</v>
      </c>
      <c r="R14" s="261">
        <f>FV($R$2/1,'PFR (LINKED)'!$A25*1,,-'PFR (LINKED)'!$F$12,)</f>
        <v>2331638.99705461</v>
      </c>
      <c r="S14" s="262">
        <f>FV(R$2/12,'PFR (LINKED)'!$A25*12,-'PFR (LINKED)'!$F$13,)</f>
        <v>0</v>
      </c>
      <c r="T14" s="262">
        <f t="shared" si="3"/>
        <v>2331638.99705461</v>
      </c>
      <c r="U14" s="261">
        <f>FV($U$2/1,'PFR (LINKED)'!$A25*1,,-'PFR (LINKED)'!$F$12,)</f>
        <v>2580426.40530541</v>
      </c>
      <c r="V14" s="262">
        <f>FV(U$2/12,'PFR (LINKED)'!$A25*12,-'PFR (LINKED)'!$F$13,)</f>
        <v>0</v>
      </c>
      <c r="W14" s="262">
        <f t="shared" si="4"/>
        <v>2580426.40530541</v>
      </c>
      <c r="X14" s="261">
        <f>FV($X$2/1,'PFR (LINKED)'!$A25*1,,-'PFR (LINKED)'!$F$12,)</f>
        <v>2853116.70611</v>
      </c>
      <c r="Y14" s="262">
        <f>FV(X$2/12,'PFR (LINKED)'!$A25*12,-'PFR (LINKED)'!$F$13,)</f>
        <v>0</v>
      </c>
      <c r="Z14" s="262">
        <f t="shared" si="5"/>
        <v>2853116.70611</v>
      </c>
      <c r="AA14" s="261">
        <f>FV($AA$2/1,'PFR (LINKED)'!$A25*1,,-'PFR (LINKED)'!$F$12,)</f>
        <v>2104851.95229984</v>
      </c>
      <c r="AB14" s="262">
        <f>FV(AA$2/12,'PFR (LINKED)'!$A25*12,-'PFR (LINKED)'!$F$13,)</f>
        <v>0</v>
      </c>
      <c r="AC14" s="262">
        <f t="shared" si="6"/>
        <v>2104851.95229984</v>
      </c>
      <c r="AD14" s="261">
        <f>FV($AD$2/1,'PFR (LINKED)'!$A25*1,,-'PFR (LINKED)'!$F$12,)</f>
        <v>2104851.95229984</v>
      </c>
      <c r="AE14" s="262">
        <f>FV(AD$2/12,'PFR (LINKED)'!$A25*12,-'PFR (LINKED)'!$F$13,)</f>
        <v>0</v>
      </c>
      <c r="AF14" s="262">
        <f t="shared" si="7"/>
        <v>2104851.95229984</v>
      </c>
    </row>
    <row r="15" spans="8:32">
      <c r="H15" s="251">
        <v>12</v>
      </c>
      <c r="I15" s="261">
        <f>FV($I$2/1,'PFR (LINKED)'!$A26*1,,-'PFR (LINKED)'!$F$12,)</f>
        <v>1601032.21856768</v>
      </c>
      <c r="J15" s="262">
        <f>FV(I$2/12,'PFR (LINKED)'!$A26*12,-'PFR (LINKED)'!$F$13,)</f>
        <v>0</v>
      </c>
      <c r="K15" s="262">
        <f t="shared" si="0"/>
        <v>1601032.21856768</v>
      </c>
      <c r="L15" s="261">
        <f>FV($L$2/1,'PFR (LINKED)'!$A26*1,,-'PFR (LINKED)'!$F$12,)</f>
        <v>1795856.32602213</v>
      </c>
      <c r="M15" s="262">
        <f>FV(L$2/12,'PFR (LINKED)'!$A26*12,-'PFR (LINKED)'!$F$13,)</f>
        <v>0</v>
      </c>
      <c r="N15" s="262">
        <f t="shared" si="1"/>
        <v>1795856.32602213</v>
      </c>
      <c r="O15" s="261">
        <f>FV($O$2/1,'PFR (LINKED)'!$A26*1,,-'PFR (LINKED)'!$F$12,)</f>
        <v>2252191.58896083</v>
      </c>
      <c r="P15" s="262">
        <f>FV(O$2/12,'PFR (LINKED)'!$A26*12,-'PFR (LINKED)'!$F$13,)</f>
        <v>0</v>
      </c>
      <c r="Q15" s="262">
        <f t="shared" si="2"/>
        <v>2252191.58896083</v>
      </c>
      <c r="R15" s="261">
        <f>FV($R$2/1,'PFR (LINKED)'!$A26*1,,-'PFR (LINKED)'!$F$12,)</f>
        <v>2518170.11681898</v>
      </c>
      <c r="S15" s="262">
        <f>FV(R$2/12,'PFR (LINKED)'!$A26*12,-'PFR (LINKED)'!$F$13,)</f>
        <v>0</v>
      </c>
      <c r="T15" s="262">
        <f t="shared" si="3"/>
        <v>2518170.11681898</v>
      </c>
      <c r="U15" s="261">
        <f>FV($U$2/1,'PFR (LINKED)'!$A26*1,,-'PFR (LINKED)'!$F$12,)</f>
        <v>2812664.7817829</v>
      </c>
      <c r="V15" s="262">
        <f>FV(U$2/12,'PFR (LINKED)'!$A26*12,-'PFR (LINKED)'!$F$13,)</f>
        <v>0</v>
      </c>
      <c r="W15" s="262">
        <f t="shared" si="4"/>
        <v>2812664.7817829</v>
      </c>
      <c r="X15" s="261">
        <f>FV($X$2/1,'PFR (LINKED)'!$A26*1,,-'PFR (LINKED)'!$F$12,)</f>
        <v>3138428.376721</v>
      </c>
      <c r="Y15" s="262">
        <f>FV(X$2/12,'PFR (LINKED)'!$A26*12,-'PFR (LINKED)'!$F$13,)</f>
        <v>0</v>
      </c>
      <c r="Z15" s="262">
        <f t="shared" si="5"/>
        <v>3138428.376721</v>
      </c>
      <c r="AA15" s="261">
        <f>FV($AA$2/1,'PFR (LINKED)'!$A26*1,,-'PFR (LINKED)'!$F$12,)</f>
        <v>2252191.58896083</v>
      </c>
      <c r="AB15" s="262">
        <f>FV(AA$2/12,'PFR (LINKED)'!$A26*12,-'PFR (LINKED)'!$F$13,)</f>
        <v>0</v>
      </c>
      <c r="AC15" s="262">
        <f t="shared" si="6"/>
        <v>2252191.58896083</v>
      </c>
      <c r="AD15" s="261">
        <f>FV($AD$2/1,'PFR (LINKED)'!$A26*1,,-'PFR (LINKED)'!$F$12,)</f>
        <v>2252191.58896083</v>
      </c>
      <c r="AE15" s="262">
        <f>FV(AD$2/12,'PFR (LINKED)'!$A26*12,-'PFR (LINKED)'!$F$13,)</f>
        <v>0</v>
      </c>
      <c r="AF15" s="262">
        <f t="shared" si="7"/>
        <v>2252191.58896083</v>
      </c>
    </row>
    <row r="16" spans="8:32">
      <c r="H16" s="251">
        <v>13</v>
      </c>
      <c r="I16" s="261">
        <f>FV($I$2/1,'PFR (LINKED)'!$A27*1,,-'PFR (LINKED)'!$F$12,)</f>
        <v>1665073.50731039</v>
      </c>
      <c r="J16" s="262">
        <f>FV(I$2/12,'PFR (LINKED)'!$A27*12,-'PFR (LINKED)'!$F$13,)</f>
        <v>0</v>
      </c>
      <c r="K16" s="262">
        <f t="shared" si="0"/>
        <v>1665073.50731039</v>
      </c>
      <c r="L16" s="261">
        <f>FV($L$2/1,'PFR (LINKED)'!$A27*1,,-'PFR (LINKED)'!$F$12,)</f>
        <v>1885649.14232324</v>
      </c>
      <c r="M16" s="262">
        <f>FV(L$2/12,'PFR (LINKED)'!$A27*12,-'PFR (LINKED)'!$F$13,)</f>
        <v>0</v>
      </c>
      <c r="N16" s="262">
        <f t="shared" si="1"/>
        <v>1885649.14232324</v>
      </c>
      <c r="O16" s="261">
        <f>FV($O$2/1,'PFR (LINKED)'!$A27*1,,-'PFR (LINKED)'!$F$12,)</f>
        <v>2409845.00018808</v>
      </c>
      <c r="P16" s="262">
        <f>FV(O$2/12,'PFR (LINKED)'!$A27*12,-'PFR (LINKED)'!$F$13,)</f>
        <v>0</v>
      </c>
      <c r="Q16" s="262">
        <f t="shared" si="2"/>
        <v>2409845.00018808</v>
      </c>
      <c r="R16" s="261">
        <f>FV($R$2/1,'PFR (LINKED)'!$A27*1,,-'PFR (LINKED)'!$F$12,)</f>
        <v>2719623.7261645</v>
      </c>
      <c r="S16" s="262">
        <f>FV(R$2/12,'PFR (LINKED)'!$A27*12,-'PFR (LINKED)'!$F$13,)</f>
        <v>0</v>
      </c>
      <c r="T16" s="262">
        <f t="shared" si="3"/>
        <v>2719623.7261645</v>
      </c>
      <c r="U16" s="261">
        <f>FV($U$2/1,'PFR (LINKED)'!$A27*1,,-'PFR (LINKED)'!$F$12,)</f>
        <v>3065804.61214336</v>
      </c>
      <c r="V16" s="262">
        <f>FV(U$2/12,'PFR (LINKED)'!$A27*12,-'PFR (LINKED)'!$F$13,)</f>
        <v>0</v>
      </c>
      <c r="W16" s="262">
        <f t="shared" si="4"/>
        <v>3065804.61214336</v>
      </c>
      <c r="X16" s="261">
        <f>FV($X$2/1,'PFR (LINKED)'!$A27*1,,-'PFR (LINKED)'!$F$12,)</f>
        <v>3452271.2143931</v>
      </c>
      <c r="Y16" s="262">
        <f>FV(X$2/12,'PFR (LINKED)'!$A27*12,-'PFR (LINKED)'!$F$13,)</f>
        <v>0</v>
      </c>
      <c r="Z16" s="262">
        <f t="shared" si="5"/>
        <v>3452271.2143931</v>
      </c>
      <c r="AA16" s="261">
        <f>FV($AA$2/1,'PFR (LINKED)'!$A27*1,,-'PFR (LINKED)'!$F$12,)</f>
        <v>2409845.00018808</v>
      </c>
      <c r="AB16" s="262">
        <f>FV(AA$2/12,'PFR (LINKED)'!$A27*12,-'PFR (LINKED)'!$F$13,)</f>
        <v>0</v>
      </c>
      <c r="AC16" s="262">
        <f t="shared" si="6"/>
        <v>2409845.00018808</v>
      </c>
      <c r="AD16" s="261">
        <f>FV($AD$2/1,'PFR (LINKED)'!$A27*1,,-'PFR (LINKED)'!$F$12,)</f>
        <v>2409845.00018808</v>
      </c>
      <c r="AE16" s="262">
        <f>FV(AD$2/12,'PFR (LINKED)'!$A27*12,-'PFR (LINKED)'!$F$13,)</f>
        <v>0</v>
      </c>
      <c r="AF16" s="262">
        <f t="shared" si="7"/>
        <v>2409845.00018808</v>
      </c>
    </row>
    <row r="17" spans="6:32">
      <c r="F17" s="257"/>
      <c r="H17" s="251">
        <v>14</v>
      </c>
      <c r="I17" s="261">
        <f>FV($I$2/1,'PFR (LINKED)'!$A28*1,,-'PFR (LINKED)'!$F$12,)</f>
        <v>1731676.4476028</v>
      </c>
      <c r="J17" s="262">
        <f>FV(I$2/12,'PFR (LINKED)'!$A28*12,-'PFR (LINKED)'!$F$13,)</f>
        <v>0</v>
      </c>
      <c r="K17" s="262">
        <f t="shared" si="0"/>
        <v>1731676.4476028</v>
      </c>
      <c r="L17" s="261">
        <f>FV($L$2/1,'PFR (LINKED)'!$A28*1,,-'PFR (LINKED)'!$F$12,)</f>
        <v>1979931.5994394</v>
      </c>
      <c r="M17" s="262">
        <f>FV(L$2/12,'PFR (LINKED)'!$A28*12,-'PFR (LINKED)'!$F$13,)</f>
        <v>0</v>
      </c>
      <c r="N17" s="262">
        <f t="shared" si="1"/>
        <v>1979931.5994394</v>
      </c>
      <c r="O17" s="261">
        <f>FV($O$2/1,'PFR (LINKED)'!$A28*1,,-'PFR (LINKED)'!$F$12,)</f>
        <v>2578534.15020125</v>
      </c>
      <c r="P17" s="262">
        <f>FV(O$2/12,'PFR (LINKED)'!$A28*12,-'PFR (LINKED)'!$F$13,)</f>
        <v>0</v>
      </c>
      <c r="Q17" s="262">
        <f t="shared" si="2"/>
        <v>2578534.15020125</v>
      </c>
      <c r="R17" s="261">
        <f>FV($R$2/1,'PFR (LINKED)'!$A28*1,,-'PFR (LINKED)'!$F$12,)</f>
        <v>2937193.62425766</v>
      </c>
      <c r="S17" s="262">
        <f>FV(R$2/12,'PFR (LINKED)'!$A28*12,-'PFR (LINKED)'!$F$13,)</f>
        <v>0</v>
      </c>
      <c r="T17" s="262">
        <f t="shared" si="3"/>
        <v>2937193.62425766</v>
      </c>
      <c r="U17" s="261">
        <f>FV($U$2/1,'PFR (LINKED)'!$A28*1,,-'PFR (LINKED)'!$F$12,)</f>
        <v>3341727.02723626</v>
      </c>
      <c r="V17" s="262">
        <f>FV(U$2/12,'PFR (LINKED)'!$A28*12,-'PFR (LINKED)'!$F$13,)</f>
        <v>0</v>
      </c>
      <c r="W17" s="262">
        <f t="shared" si="4"/>
        <v>3341727.02723626</v>
      </c>
      <c r="X17" s="261">
        <f>FV($X$2/1,'PFR (LINKED)'!$A28*1,,-'PFR (LINKED)'!$F$12,)</f>
        <v>3797498.33583241</v>
      </c>
      <c r="Y17" s="262">
        <f>FV(X$2/12,'PFR (LINKED)'!$A28*12,-'PFR (LINKED)'!$F$13,)</f>
        <v>0</v>
      </c>
      <c r="Z17" s="262">
        <f t="shared" si="5"/>
        <v>3797498.33583241</v>
      </c>
      <c r="AA17" s="261">
        <f>FV($AA$2/1,'PFR (LINKED)'!$A28*1,,-'PFR (LINKED)'!$F$12,)</f>
        <v>2578534.15020125</v>
      </c>
      <c r="AB17" s="262">
        <f>FV(AA$2/12,'PFR (LINKED)'!$A28*12,-'PFR (LINKED)'!$F$13,)</f>
        <v>0</v>
      </c>
      <c r="AC17" s="262">
        <f t="shared" si="6"/>
        <v>2578534.15020125</v>
      </c>
      <c r="AD17" s="261">
        <f>FV($AD$2/1,'PFR (LINKED)'!$A28*1,,-'PFR (LINKED)'!$F$12,)</f>
        <v>2578534.15020125</v>
      </c>
      <c r="AE17" s="262">
        <f>FV(AD$2/12,'PFR (LINKED)'!$A28*12,-'PFR (LINKED)'!$F$13,)</f>
        <v>0</v>
      </c>
      <c r="AF17" s="262">
        <f t="shared" si="7"/>
        <v>2578534.15020125</v>
      </c>
    </row>
    <row r="18" spans="8:32">
      <c r="H18" s="251">
        <v>15</v>
      </c>
      <c r="I18" s="261">
        <f>FV($I$2/1,'PFR (LINKED)'!$A29*1,,-'PFR (LINKED)'!$F$12,)</f>
        <v>1800943.50550692</v>
      </c>
      <c r="J18" s="262">
        <f>FV(I$2/12,'PFR (LINKED)'!$A29*12,-'PFR (LINKED)'!$F$13,)</f>
        <v>0</v>
      </c>
      <c r="K18" s="262">
        <f t="shared" si="0"/>
        <v>1800943.50550692</v>
      </c>
      <c r="L18" s="261">
        <f>FV($L$2/1,'PFR (LINKED)'!$A29*1,,-'PFR (LINKED)'!$F$12,)</f>
        <v>2078928.17941137</v>
      </c>
      <c r="M18" s="262">
        <f>FV(L$2/12,'PFR (LINKED)'!$A29*12,-'PFR (LINKED)'!$F$13,)</f>
        <v>0</v>
      </c>
      <c r="N18" s="262">
        <f t="shared" si="1"/>
        <v>2078928.17941137</v>
      </c>
      <c r="O18" s="261">
        <f>FV($O$2/1,'PFR (LINKED)'!$A29*1,,-'PFR (LINKED)'!$F$12,)</f>
        <v>2759031.54071534</v>
      </c>
      <c r="P18" s="262">
        <f>FV(O$2/12,'PFR (LINKED)'!$A29*12,-'PFR (LINKED)'!$F$13,)</f>
        <v>0</v>
      </c>
      <c r="Q18" s="262">
        <f t="shared" si="2"/>
        <v>2759031.54071534</v>
      </c>
      <c r="R18" s="261">
        <f>FV($R$2/1,'PFR (LINKED)'!$A29*1,,-'PFR (LINKED)'!$F$12,)</f>
        <v>3172169.11419827</v>
      </c>
      <c r="S18" s="262">
        <f>FV(R$2/12,'PFR (LINKED)'!$A29*12,-'PFR (LINKED)'!$F$13,)</f>
        <v>0</v>
      </c>
      <c r="T18" s="262">
        <f t="shared" si="3"/>
        <v>3172169.11419827</v>
      </c>
      <c r="U18" s="261">
        <f>FV($U$2/1,'PFR (LINKED)'!$A29*1,,-'PFR (LINKED)'!$F$12,)</f>
        <v>3642482.45968752</v>
      </c>
      <c r="V18" s="262">
        <f>FV(U$2/12,'PFR (LINKED)'!$A29*12,-'PFR (LINKED)'!$F$13,)</f>
        <v>0</v>
      </c>
      <c r="W18" s="262">
        <f t="shared" si="4"/>
        <v>3642482.45968752</v>
      </c>
      <c r="X18" s="261">
        <f>FV($X$2/1,'PFR (LINKED)'!$A29*1,,-'PFR (LINKED)'!$F$12,)</f>
        <v>4177248.16941566</v>
      </c>
      <c r="Y18" s="262">
        <f>FV(X$2/12,'PFR (LINKED)'!$A29*12,-'PFR (LINKED)'!$F$13,)</f>
        <v>0</v>
      </c>
      <c r="Z18" s="262">
        <f t="shared" si="5"/>
        <v>4177248.16941566</v>
      </c>
      <c r="AA18" s="261">
        <f>FV($AA$2/1,'PFR (LINKED)'!$A29*1,,-'PFR (LINKED)'!$F$12,)</f>
        <v>2759031.54071534</v>
      </c>
      <c r="AB18" s="262">
        <f>FV(AA$2/12,'PFR (LINKED)'!$A29*12,-'PFR (LINKED)'!$F$13,)</f>
        <v>0</v>
      </c>
      <c r="AC18" s="262">
        <f t="shared" si="6"/>
        <v>2759031.54071534</v>
      </c>
      <c r="AD18" s="261">
        <f>FV($AD$2/1,'PFR (LINKED)'!$A29*1,,-'PFR (LINKED)'!$F$12,)</f>
        <v>2759031.54071534</v>
      </c>
      <c r="AE18" s="262">
        <f>FV(AD$2/12,'PFR (LINKED)'!$A29*12,-'PFR (LINKED)'!$F$13,)</f>
        <v>0</v>
      </c>
      <c r="AF18" s="262">
        <f t="shared" si="7"/>
        <v>2759031.54071534</v>
      </c>
    </row>
    <row r="19" spans="8:32">
      <c r="H19" s="251">
        <v>16</v>
      </c>
      <c r="I19" s="261">
        <f>FV($I$2/1,'PFR (LINKED)'!$A30*1,,-'PFR (LINKED)'!$F$12,)</f>
        <v>1872981.24572719</v>
      </c>
      <c r="J19" s="262">
        <f>FV(I$2/12,'PFR (LINKED)'!$A30*12,-'PFR (LINKED)'!$F$13,)</f>
        <v>0</v>
      </c>
      <c r="K19" s="262">
        <f t="shared" si="0"/>
        <v>1872981.24572719</v>
      </c>
      <c r="L19" s="261">
        <f>FV($L$2/1,'PFR (LINKED)'!$A30*1,,-'PFR (LINKED)'!$F$12,)</f>
        <v>2182874.58838194</v>
      </c>
      <c r="M19" s="262">
        <f>FV(L$2/12,'PFR (LINKED)'!$A30*12,-'PFR (LINKED)'!$F$13,)</f>
        <v>0</v>
      </c>
      <c r="N19" s="262">
        <f t="shared" si="1"/>
        <v>2182874.58838194</v>
      </c>
      <c r="O19" s="261">
        <f>FV($O$2/1,'PFR (LINKED)'!$A30*1,,-'PFR (LINKED)'!$F$12,)</f>
        <v>2952163.74856541</v>
      </c>
      <c r="P19" s="262">
        <f>FV(O$2/12,'PFR (LINKED)'!$A30*12,-'PFR (LINKED)'!$F$13,)</f>
        <v>0</v>
      </c>
      <c r="Q19" s="262">
        <f t="shared" si="2"/>
        <v>2952163.74856541</v>
      </c>
      <c r="R19" s="261">
        <f>FV($R$2/1,'PFR (LINKED)'!$A30*1,,-'PFR (LINKED)'!$F$12,)</f>
        <v>3425942.64333413</v>
      </c>
      <c r="S19" s="262">
        <f>FV(R$2/12,'PFR (LINKED)'!$A30*12,-'PFR (LINKED)'!$F$13,)</f>
        <v>0</v>
      </c>
      <c r="T19" s="262">
        <f t="shared" si="3"/>
        <v>3425942.64333413</v>
      </c>
      <c r="U19" s="261">
        <f>FV($U$2/1,'PFR (LINKED)'!$A30*1,,-'PFR (LINKED)'!$F$12,)</f>
        <v>3970305.8810594</v>
      </c>
      <c r="V19" s="262">
        <f>FV(U$2/12,'PFR (LINKED)'!$A30*12,-'PFR (LINKED)'!$F$13,)</f>
        <v>0</v>
      </c>
      <c r="W19" s="262">
        <f t="shared" si="4"/>
        <v>3970305.8810594</v>
      </c>
      <c r="X19" s="261">
        <f>FV($X$2/1,'PFR (LINKED)'!$A30*1,,-'PFR (LINKED)'!$F$12,)</f>
        <v>4594972.98635722</v>
      </c>
      <c r="Y19" s="262">
        <f>FV(X$2/12,'PFR (LINKED)'!$A30*12,-'PFR (LINKED)'!$F$13,)</f>
        <v>0</v>
      </c>
      <c r="Z19" s="262">
        <f t="shared" si="5"/>
        <v>4594972.98635722</v>
      </c>
      <c r="AA19" s="261">
        <f>FV($AA$2/1,'PFR (LINKED)'!$A30*1,,-'PFR (LINKED)'!$F$12,)</f>
        <v>2952163.74856541</v>
      </c>
      <c r="AB19" s="262">
        <f>FV(AA$2/12,'PFR (LINKED)'!$A30*12,-'PFR (LINKED)'!$F$13,)</f>
        <v>0</v>
      </c>
      <c r="AC19" s="262">
        <f t="shared" si="6"/>
        <v>2952163.74856541</v>
      </c>
      <c r="AD19" s="261">
        <f>FV($AD$2/1,'PFR (LINKED)'!$A30*1,,-'PFR (LINKED)'!$F$12,)</f>
        <v>2952163.74856541</v>
      </c>
      <c r="AE19" s="262">
        <f>FV(AD$2/12,'PFR (LINKED)'!$A30*12,-'PFR (LINKED)'!$F$13,)</f>
        <v>0</v>
      </c>
      <c r="AF19" s="262">
        <f t="shared" si="7"/>
        <v>2952163.74856541</v>
      </c>
    </row>
    <row r="20" spans="8:32">
      <c r="H20" s="251">
        <v>17</v>
      </c>
      <c r="I20" s="261">
        <f>FV($I$2/1,'PFR (LINKED)'!$A31*1,,-'PFR (LINKED)'!$F$12,)</f>
        <v>1947900.49555628</v>
      </c>
      <c r="J20" s="262">
        <f>FV(I$2/12,'PFR (LINKED)'!$A31*12,-'PFR (LINKED)'!$F$13,)</f>
        <v>0</v>
      </c>
      <c r="K20" s="262">
        <f t="shared" si="0"/>
        <v>1947900.49555628</v>
      </c>
      <c r="L20" s="261">
        <f>FV($L$2/1,'PFR (LINKED)'!$A31*1,,-'PFR (LINKED)'!$F$12,)</f>
        <v>2292018.31780103</v>
      </c>
      <c r="M20" s="262">
        <f>FV(L$2/12,'PFR (LINKED)'!$A31*12,-'PFR (LINKED)'!$F$13,)</f>
        <v>0</v>
      </c>
      <c r="N20" s="262">
        <f t="shared" si="1"/>
        <v>2292018.31780103</v>
      </c>
      <c r="O20" s="261">
        <f>FV($O$2/1,'PFR (LINKED)'!$A31*1,,-'PFR (LINKED)'!$F$12,)</f>
        <v>3158815.21096499</v>
      </c>
      <c r="P20" s="262">
        <f>FV(O$2/12,'PFR (LINKED)'!$A31*12,-'PFR (LINKED)'!$F$13,)</f>
        <v>0</v>
      </c>
      <c r="Q20" s="262">
        <f t="shared" si="2"/>
        <v>3158815.21096499</v>
      </c>
      <c r="R20" s="261">
        <f>FV($R$2/1,'PFR (LINKED)'!$A31*1,,-'PFR (LINKED)'!$F$12,)</f>
        <v>3700018.05480087</v>
      </c>
      <c r="S20" s="262">
        <f>FV(R$2/12,'PFR (LINKED)'!$A31*12,-'PFR (LINKED)'!$F$13,)</f>
        <v>0</v>
      </c>
      <c r="T20" s="262">
        <f t="shared" si="3"/>
        <v>3700018.05480087</v>
      </c>
      <c r="U20" s="261">
        <f>FV($U$2/1,'PFR (LINKED)'!$A31*1,,-'PFR (LINKED)'!$F$12,)</f>
        <v>4327633.41035475</v>
      </c>
      <c r="V20" s="262">
        <f>FV(U$2/12,'PFR (LINKED)'!$A31*12,-'PFR (LINKED)'!$F$13,)</f>
        <v>0</v>
      </c>
      <c r="W20" s="262">
        <f t="shared" si="4"/>
        <v>4327633.41035475</v>
      </c>
      <c r="X20" s="261">
        <f>FV($X$2/1,'PFR (LINKED)'!$A31*1,,-'PFR (LINKED)'!$F$12,)</f>
        <v>5054470.28499295</v>
      </c>
      <c r="Y20" s="262">
        <f>FV(X$2/12,'PFR (LINKED)'!$A31*12,-'PFR (LINKED)'!$F$13,)</f>
        <v>0</v>
      </c>
      <c r="Z20" s="262">
        <f t="shared" si="5"/>
        <v>5054470.28499295</v>
      </c>
      <c r="AA20" s="261">
        <f>FV($AA$2/1,'PFR (LINKED)'!$A31*1,,-'PFR (LINKED)'!$F$12,)</f>
        <v>3158815.21096499</v>
      </c>
      <c r="AB20" s="262">
        <f>FV(AA$2/12,'PFR (LINKED)'!$A31*12,-'PFR (LINKED)'!$F$13,)</f>
        <v>0</v>
      </c>
      <c r="AC20" s="262">
        <f t="shared" si="6"/>
        <v>3158815.21096499</v>
      </c>
      <c r="AD20" s="261">
        <f>FV($AD$2/1,'PFR (LINKED)'!$A31*1,,-'PFR (LINKED)'!$F$12,)</f>
        <v>3158815.21096499</v>
      </c>
      <c r="AE20" s="262">
        <f>FV(AD$2/12,'PFR (LINKED)'!$A31*12,-'PFR (LINKED)'!$F$13,)</f>
        <v>0</v>
      </c>
      <c r="AF20" s="262">
        <f t="shared" si="7"/>
        <v>3158815.21096499</v>
      </c>
    </row>
    <row r="21" spans="8:32">
      <c r="H21" s="251">
        <v>18</v>
      </c>
      <c r="I21" s="261">
        <f>FV($I$2/1,'PFR (LINKED)'!$A32*1,,-'PFR (LINKED)'!$F$12,)</f>
        <v>2025816.51537853</v>
      </c>
      <c r="J21" s="262">
        <f>FV(I$2/12,'PFR (LINKED)'!$A32*12,-'PFR (LINKED)'!$F$13,)</f>
        <v>0</v>
      </c>
      <c r="K21" s="262">
        <f t="shared" si="0"/>
        <v>2025816.51537853</v>
      </c>
      <c r="L21" s="261">
        <f>FV($L$2/1,'PFR (LINKED)'!$A32*1,,-'PFR (LINKED)'!$F$12,)</f>
        <v>2406619.23369109</v>
      </c>
      <c r="M21" s="262">
        <f>FV(L$2/12,'PFR (LINKED)'!$A32*12,-'PFR (LINKED)'!$F$13,)</f>
        <v>0</v>
      </c>
      <c r="N21" s="262">
        <f t="shared" si="1"/>
        <v>2406619.23369109</v>
      </c>
      <c r="O21" s="261">
        <f>FV($O$2/1,'PFR (LINKED)'!$A32*1,,-'PFR (LINKED)'!$F$12,)</f>
        <v>3379932.27573254</v>
      </c>
      <c r="P21" s="262">
        <f>FV(O$2/12,'PFR (LINKED)'!$A32*12,-'PFR (LINKED)'!$F$13,)</f>
        <v>0</v>
      </c>
      <c r="Q21" s="262">
        <f t="shared" si="2"/>
        <v>3379932.27573254</v>
      </c>
      <c r="R21" s="261">
        <f>FV($R$2/1,'PFR (LINKED)'!$A32*1,,-'PFR (LINKED)'!$F$12,)</f>
        <v>3996019.49918493</v>
      </c>
      <c r="S21" s="262">
        <f>FV(R$2/12,'PFR (LINKED)'!$A32*12,-'PFR (LINKED)'!$F$13,)</f>
        <v>0</v>
      </c>
      <c r="T21" s="262">
        <f t="shared" si="3"/>
        <v>3996019.49918493</v>
      </c>
      <c r="U21" s="261">
        <f>FV($U$2/1,'PFR (LINKED)'!$A32*1,,-'PFR (LINKED)'!$F$12,)</f>
        <v>4717120.41728668</v>
      </c>
      <c r="V21" s="262">
        <f>FV(U$2/12,'PFR (LINKED)'!$A32*12,-'PFR (LINKED)'!$F$13,)</f>
        <v>0</v>
      </c>
      <c r="W21" s="262">
        <f t="shared" si="4"/>
        <v>4717120.41728668</v>
      </c>
      <c r="X21" s="261">
        <f>FV($X$2/1,'PFR (LINKED)'!$A32*1,,-'PFR (LINKED)'!$F$12,)</f>
        <v>5559917.31349224</v>
      </c>
      <c r="Y21" s="262">
        <f>FV(X$2/12,'PFR (LINKED)'!$A32*12,-'PFR (LINKED)'!$F$13,)</f>
        <v>0</v>
      </c>
      <c r="Z21" s="262">
        <f t="shared" si="5"/>
        <v>5559917.31349224</v>
      </c>
      <c r="AA21" s="261">
        <f>FV($AA$2/1,'PFR (LINKED)'!$A32*1,,-'PFR (LINKED)'!$F$12,)</f>
        <v>3379932.27573254</v>
      </c>
      <c r="AB21" s="262">
        <f>FV(AA$2/12,'PFR (LINKED)'!$A32*12,-'PFR (LINKED)'!$F$13,)</f>
        <v>0</v>
      </c>
      <c r="AC21" s="262">
        <f t="shared" si="6"/>
        <v>3379932.27573254</v>
      </c>
      <c r="AD21" s="261">
        <f>FV($AD$2/1,'PFR (LINKED)'!$A32*1,,-'PFR (LINKED)'!$F$12,)</f>
        <v>3379932.27573254</v>
      </c>
      <c r="AE21" s="262">
        <f>FV(AD$2/12,'PFR (LINKED)'!$A32*12,-'PFR (LINKED)'!$F$13,)</f>
        <v>0</v>
      </c>
      <c r="AF21" s="262">
        <f t="shared" si="7"/>
        <v>3379932.27573254</v>
      </c>
    </row>
    <row r="22" spans="8:32">
      <c r="H22" s="251">
        <v>19</v>
      </c>
      <c r="I22" s="261">
        <f>FV($I$2/1,'PFR (LINKED)'!$A33*1,,-'PFR (LINKED)'!$F$12,)</f>
        <v>2106849.17599367</v>
      </c>
      <c r="J22" s="262">
        <f>FV(I$2/12,'PFR (LINKED)'!$A33*12,-'PFR (LINKED)'!$F$13,)</f>
        <v>0</v>
      </c>
      <c r="K22" s="262">
        <f t="shared" si="0"/>
        <v>2106849.17599367</v>
      </c>
      <c r="L22" s="261">
        <f>FV($L$2/1,'PFR (LINKED)'!$A33*1,,-'PFR (LINKED)'!$F$12,)</f>
        <v>2526950.19537564</v>
      </c>
      <c r="M22" s="262">
        <f>FV(L$2/12,'PFR (LINKED)'!$A33*12,-'PFR (LINKED)'!$F$13,)</f>
        <v>0</v>
      </c>
      <c r="N22" s="262">
        <f t="shared" si="1"/>
        <v>2526950.19537564</v>
      </c>
      <c r="O22" s="261">
        <f>FV($O$2/1,'PFR (LINKED)'!$A33*1,,-'PFR (LINKED)'!$F$12,)</f>
        <v>3616527.53503382</v>
      </c>
      <c r="P22" s="262">
        <f>FV(O$2/12,'PFR (LINKED)'!$A33*12,-'PFR (LINKED)'!$F$13,)</f>
        <v>0</v>
      </c>
      <c r="Q22" s="262">
        <f t="shared" si="2"/>
        <v>3616527.53503382</v>
      </c>
      <c r="R22" s="261">
        <f>FV($R$2/1,'PFR (LINKED)'!$A33*1,,-'PFR (LINKED)'!$F$12,)</f>
        <v>4315701.05911973</v>
      </c>
      <c r="S22" s="262">
        <f>FV(R$2/12,'PFR (LINKED)'!$A33*12,-'PFR (LINKED)'!$F$13,)</f>
        <v>0</v>
      </c>
      <c r="T22" s="262">
        <f t="shared" si="3"/>
        <v>4315701.05911973</v>
      </c>
      <c r="U22" s="261">
        <f>FV($U$2/1,'PFR (LINKED)'!$A33*1,,-'PFR (LINKED)'!$F$12,)</f>
        <v>5141661.25484248</v>
      </c>
      <c r="V22" s="262">
        <f>FV(U$2/12,'PFR (LINKED)'!$A33*12,-'PFR (LINKED)'!$F$13,)</f>
        <v>0</v>
      </c>
      <c r="W22" s="262">
        <f t="shared" si="4"/>
        <v>5141661.25484248</v>
      </c>
      <c r="X22" s="261">
        <f>FV($X$2/1,'PFR (LINKED)'!$A33*1,,-'PFR (LINKED)'!$F$12,)</f>
        <v>6115909.04484146</v>
      </c>
      <c r="Y22" s="262">
        <f>FV(X$2/12,'PFR (LINKED)'!$A33*12,-'PFR (LINKED)'!$F$13,)</f>
        <v>0</v>
      </c>
      <c r="Z22" s="262">
        <f t="shared" si="5"/>
        <v>6115909.04484146</v>
      </c>
      <c r="AA22" s="261">
        <f>FV($AA$2/1,'PFR (LINKED)'!$A33*1,,-'PFR (LINKED)'!$F$12,)</f>
        <v>3616527.53503382</v>
      </c>
      <c r="AB22" s="262">
        <f>FV(AA$2/12,'PFR (LINKED)'!$A33*12,-'PFR (LINKED)'!$F$13,)</f>
        <v>0</v>
      </c>
      <c r="AC22" s="262">
        <f t="shared" si="6"/>
        <v>3616527.53503382</v>
      </c>
      <c r="AD22" s="261">
        <f>FV($AD$2/1,'PFR (LINKED)'!$A33*1,,-'PFR (LINKED)'!$F$12,)</f>
        <v>3616527.53503382</v>
      </c>
      <c r="AE22" s="262">
        <f>FV(AD$2/12,'PFR (LINKED)'!$A33*12,-'PFR (LINKED)'!$F$13,)</f>
        <v>0</v>
      </c>
      <c r="AF22" s="262">
        <f t="shared" si="7"/>
        <v>3616527.53503382</v>
      </c>
    </row>
    <row r="23" spans="8:32">
      <c r="H23" s="251">
        <v>20</v>
      </c>
      <c r="I23" s="261">
        <f>FV($I$2/1,'PFR (LINKED)'!$A34*1,,-'PFR (LINKED)'!$F$12,)</f>
        <v>2191123.14303342</v>
      </c>
      <c r="J23" s="262">
        <f>FV(I$2/12,'PFR (LINKED)'!$A34*12,-'PFR (LINKED)'!$F$13,)</f>
        <v>0</v>
      </c>
      <c r="K23" s="262">
        <f t="shared" si="0"/>
        <v>2191123.14303342</v>
      </c>
      <c r="L23" s="261">
        <f>FV($L$2/1,'PFR (LINKED)'!$A34*1,,-'PFR (LINKED)'!$F$12,)</f>
        <v>2653297.70514442</v>
      </c>
      <c r="M23" s="262">
        <f>FV(L$2/12,'PFR (LINKED)'!$A34*12,-'PFR (LINKED)'!$F$13,)</f>
        <v>0</v>
      </c>
      <c r="N23" s="262">
        <f t="shared" si="1"/>
        <v>2653297.70514442</v>
      </c>
      <c r="O23" s="261">
        <f>FV($O$2/1,'PFR (LINKED)'!$A34*1,,-'PFR (LINKED)'!$F$12,)</f>
        <v>3869684.46248618</v>
      </c>
      <c r="P23" s="262">
        <f>FV(O$2/12,'PFR (LINKED)'!$A34*12,-'PFR (LINKED)'!$F$13,)</f>
        <v>0</v>
      </c>
      <c r="Q23" s="262">
        <f t="shared" si="2"/>
        <v>3869684.46248618</v>
      </c>
      <c r="R23" s="261">
        <f>FV($R$2/1,'PFR (LINKED)'!$A34*1,,-'PFR (LINKED)'!$F$12,)</f>
        <v>4660957.14384931</v>
      </c>
      <c r="S23" s="262">
        <f>FV(R$2/12,'PFR (LINKED)'!$A34*12,-'PFR (LINKED)'!$F$13,)</f>
        <v>0</v>
      </c>
      <c r="T23" s="262">
        <f t="shared" si="3"/>
        <v>4660957.14384931</v>
      </c>
      <c r="U23" s="261">
        <f>FV($U$2/1,'PFR (LINKED)'!$A34*1,,-'PFR (LINKED)'!$F$12,)</f>
        <v>5604410.7677783</v>
      </c>
      <c r="V23" s="262">
        <f>FV(U$2/12,'PFR (LINKED)'!$A34*12,-'PFR (LINKED)'!$F$13,)</f>
        <v>0</v>
      </c>
      <c r="W23" s="262">
        <f t="shared" si="4"/>
        <v>5604410.7677783</v>
      </c>
      <c r="X23" s="261">
        <f>FV($X$2/1,'PFR (LINKED)'!$A34*1,,-'PFR (LINKED)'!$F$12,)</f>
        <v>6727499.94932561</v>
      </c>
      <c r="Y23" s="262">
        <f>FV(X$2/12,'PFR (LINKED)'!$A34*12,-'PFR (LINKED)'!$F$13,)</f>
        <v>0</v>
      </c>
      <c r="Z23" s="262">
        <f t="shared" si="5"/>
        <v>6727499.94932561</v>
      </c>
      <c r="AA23" s="261">
        <f>FV($AA$2/1,'PFR (LINKED)'!$A34*1,,-'PFR (LINKED)'!$F$12,)</f>
        <v>3869684.46248618</v>
      </c>
      <c r="AB23" s="262">
        <f>FV(AA$2/12,'PFR (LINKED)'!$A34*12,-'PFR (LINKED)'!$F$13,)</f>
        <v>0</v>
      </c>
      <c r="AC23" s="262">
        <f t="shared" si="6"/>
        <v>3869684.46248618</v>
      </c>
      <c r="AD23" s="261">
        <f>FV($AD$2/1,'PFR (LINKED)'!$A34*1,,-'PFR (LINKED)'!$F$12,)</f>
        <v>3869684.46248618</v>
      </c>
      <c r="AE23" s="262">
        <f>FV(AD$2/12,'PFR (LINKED)'!$A34*12,-'PFR (LINKED)'!$F$13,)</f>
        <v>0</v>
      </c>
      <c r="AF23" s="262">
        <f t="shared" si="7"/>
        <v>3869684.46248618</v>
      </c>
    </row>
    <row r="24" spans="8:32">
      <c r="H24" s="251">
        <v>21</v>
      </c>
      <c r="I24" s="261">
        <f>FV($I$2/1,'PFR (LINKED)'!$A35*1,,-'PFR (LINKED)'!$F$12,)</f>
        <v>2278768.06875476</v>
      </c>
      <c r="J24" s="262">
        <f>FV(I$2/12,'PFR (LINKED)'!$A35*12,-'PFR (LINKED)'!$F$13,)</f>
        <v>0</v>
      </c>
      <c r="K24" s="262">
        <f t="shared" si="0"/>
        <v>2278768.06875476</v>
      </c>
      <c r="L24" s="261">
        <f>FV($L$2/1,'PFR (LINKED)'!$A35*1,,-'PFR (LINKED)'!$F$12,)</f>
        <v>2785962.59040164</v>
      </c>
      <c r="M24" s="262">
        <f>FV(L$2/12,'PFR (LINKED)'!$A35*12,-'PFR (LINKED)'!$F$13,)</f>
        <v>0</v>
      </c>
      <c r="N24" s="262">
        <f t="shared" si="1"/>
        <v>2785962.59040164</v>
      </c>
      <c r="O24" s="261">
        <f>FV($O$2/1,'PFR (LINKED)'!$A35*1,,-'PFR (LINKED)'!$F$12,)</f>
        <v>4140562.37486022</v>
      </c>
      <c r="P24" s="262">
        <f>FV(O$2/12,'PFR (LINKED)'!$A35*12,-'PFR (LINKED)'!$F$13,)</f>
        <v>0</v>
      </c>
      <c r="Q24" s="262">
        <f t="shared" si="2"/>
        <v>4140562.37486022</v>
      </c>
      <c r="R24" s="261">
        <f>FV($R$2/1,'PFR (LINKED)'!$A35*1,,-'PFR (LINKED)'!$F$12,)</f>
        <v>5033833.71535725</v>
      </c>
      <c r="S24" s="262">
        <f>FV(R$2/12,'PFR (LINKED)'!$A35*12,-'PFR (LINKED)'!$F$13,)</f>
        <v>0</v>
      </c>
      <c r="T24" s="262">
        <f t="shared" si="3"/>
        <v>5033833.71535725</v>
      </c>
      <c r="U24" s="261">
        <f>FV($U$2/1,'PFR (LINKED)'!$A35*1,,-'PFR (LINKED)'!$F$12,)</f>
        <v>6108807.73687835</v>
      </c>
      <c r="V24" s="262">
        <f>FV(U$2/12,'PFR (LINKED)'!$A35*12,-'PFR (LINKED)'!$F$13,)</f>
        <v>0</v>
      </c>
      <c r="W24" s="262">
        <f t="shared" si="4"/>
        <v>6108807.73687835</v>
      </c>
      <c r="X24" s="261">
        <f>FV($X$2/1,'PFR (LINKED)'!$A35*1,,-'PFR (LINKED)'!$F$12,)</f>
        <v>7400249.94425817</v>
      </c>
      <c r="Y24" s="262">
        <f>FV(X$2/12,'PFR (LINKED)'!$A35*12,-'PFR (LINKED)'!$F$13,)</f>
        <v>0</v>
      </c>
      <c r="Z24" s="262">
        <f t="shared" si="5"/>
        <v>7400249.94425817</v>
      </c>
      <c r="AA24" s="261">
        <f>FV($AA$2/1,'PFR (LINKED)'!$A35*1,,-'PFR (LINKED)'!$F$12,)</f>
        <v>4140562.37486022</v>
      </c>
      <c r="AB24" s="262">
        <f>FV(AA$2/12,'PFR (LINKED)'!$A35*12,-'PFR (LINKED)'!$F$13,)</f>
        <v>0</v>
      </c>
      <c r="AC24" s="262">
        <f t="shared" si="6"/>
        <v>4140562.37486022</v>
      </c>
      <c r="AD24" s="261">
        <f>FV($AD$2/1,'PFR (LINKED)'!$A35*1,,-'PFR (LINKED)'!$F$12,)</f>
        <v>4140562.37486022</v>
      </c>
      <c r="AE24" s="262">
        <f>FV(AD$2/12,'PFR (LINKED)'!$A35*12,-'PFR (LINKED)'!$F$13,)</f>
        <v>0</v>
      </c>
      <c r="AF24" s="262">
        <f t="shared" si="7"/>
        <v>4140562.37486022</v>
      </c>
    </row>
    <row r="25" spans="8:32">
      <c r="H25" s="251">
        <v>22</v>
      </c>
      <c r="I25" s="261">
        <f>FV($I$2/1,'PFR (LINKED)'!$A36*1,,-'PFR (LINKED)'!$F$12,)</f>
        <v>2369918.79150495</v>
      </c>
      <c r="J25" s="262">
        <f>FV(I$2/12,'PFR (LINKED)'!$A36*12,-'PFR (LINKED)'!$F$13,)</f>
        <v>0</v>
      </c>
      <c r="K25" s="262">
        <f t="shared" si="0"/>
        <v>2369918.79150495</v>
      </c>
      <c r="L25" s="261">
        <f>FV($L$2/1,'PFR (LINKED)'!$A36*1,,-'PFR (LINKED)'!$F$12,)</f>
        <v>2925260.71992173</v>
      </c>
      <c r="M25" s="262">
        <f>FV(L$2/12,'PFR (LINKED)'!$A36*12,-'PFR (LINKED)'!$F$13,)</f>
        <v>0</v>
      </c>
      <c r="N25" s="262">
        <f t="shared" si="1"/>
        <v>2925260.71992173</v>
      </c>
      <c r="O25" s="261">
        <f>FV($O$2/1,'PFR (LINKED)'!$A36*1,,-'PFR (LINKED)'!$F$12,)</f>
        <v>4430401.74110043</v>
      </c>
      <c r="P25" s="262">
        <f>FV(O$2/12,'PFR (LINKED)'!$A36*12,-'PFR (LINKED)'!$F$13,)</f>
        <v>0</v>
      </c>
      <c r="Q25" s="262">
        <f t="shared" si="2"/>
        <v>4430401.74110043</v>
      </c>
      <c r="R25" s="261">
        <f>FV($R$2/1,'PFR (LINKED)'!$A36*1,,-'PFR (LINKED)'!$F$12,)</f>
        <v>5436540.41258583</v>
      </c>
      <c r="S25" s="262">
        <f>FV(R$2/12,'PFR (LINKED)'!$A36*12,-'PFR (LINKED)'!$F$13,)</f>
        <v>0</v>
      </c>
      <c r="T25" s="262">
        <f t="shared" si="3"/>
        <v>5436540.41258583</v>
      </c>
      <c r="U25" s="261">
        <f>FV($U$2/1,'PFR (LINKED)'!$A36*1,,-'PFR (LINKED)'!$F$12,)</f>
        <v>6658600.4331974</v>
      </c>
      <c r="V25" s="262">
        <f>FV(U$2/12,'PFR (LINKED)'!$A36*12,-'PFR (LINKED)'!$F$13,)</f>
        <v>0</v>
      </c>
      <c r="W25" s="262">
        <f t="shared" si="4"/>
        <v>6658600.4331974</v>
      </c>
      <c r="X25" s="261">
        <f>FV($X$2/1,'PFR (LINKED)'!$A36*1,,-'PFR (LINKED)'!$F$12,)</f>
        <v>8140274.93868399</v>
      </c>
      <c r="Y25" s="262">
        <f>FV(X$2/12,'PFR (LINKED)'!$A36*12,-'PFR (LINKED)'!$F$13,)</f>
        <v>0</v>
      </c>
      <c r="Z25" s="262">
        <f t="shared" si="5"/>
        <v>8140274.93868399</v>
      </c>
      <c r="AA25" s="261">
        <f>FV($AA$2/1,'PFR (LINKED)'!$A36*1,,-'PFR (LINKED)'!$F$12,)</f>
        <v>4430401.74110043</v>
      </c>
      <c r="AB25" s="262">
        <f>FV(AA$2/12,'PFR (LINKED)'!$A36*12,-'PFR (LINKED)'!$F$13,)</f>
        <v>0</v>
      </c>
      <c r="AC25" s="262">
        <f t="shared" si="6"/>
        <v>4430401.74110043</v>
      </c>
      <c r="AD25" s="261">
        <f>FV($AD$2/1,'PFR (LINKED)'!$A36*1,,-'PFR (LINKED)'!$F$12,)</f>
        <v>4430401.74110043</v>
      </c>
      <c r="AE25" s="262">
        <f>FV(AD$2/12,'PFR (LINKED)'!$A36*12,-'PFR (LINKED)'!$F$13,)</f>
        <v>0</v>
      </c>
      <c r="AF25" s="262">
        <f t="shared" si="7"/>
        <v>4430401.74110043</v>
      </c>
    </row>
    <row r="26" spans="8:32">
      <c r="H26" s="251">
        <v>23</v>
      </c>
      <c r="I26" s="261">
        <f>FV($I$2/1,'PFR (LINKED)'!$A37*1,,-'PFR (LINKED)'!$F$12,)</f>
        <v>2464715.54316515</v>
      </c>
      <c r="J26" s="262">
        <f>FV(I$2/12,'PFR (LINKED)'!$A37*12,-'PFR (LINKED)'!$F$13,)</f>
        <v>0</v>
      </c>
      <c r="K26" s="262">
        <f t="shared" si="0"/>
        <v>2464715.54316515</v>
      </c>
      <c r="L26" s="261">
        <f>FV($L$2/1,'PFR (LINKED)'!$A37*1,,-'PFR (LINKED)'!$F$12,)</f>
        <v>3071523.75591781</v>
      </c>
      <c r="M26" s="262">
        <f>FV(L$2/12,'PFR (LINKED)'!$A37*12,-'PFR (LINKED)'!$F$13,)</f>
        <v>0</v>
      </c>
      <c r="N26" s="262">
        <f t="shared" si="1"/>
        <v>3071523.75591781</v>
      </c>
      <c r="O26" s="261">
        <f>FV($O$2/1,'PFR (LINKED)'!$A37*1,,-'PFR (LINKED)'!$F$12,)</f>
        <v>4740529.86297746</v>
      </c>
      <c r="P26" s="262">
        <f>FV(O$2/12,'PFR (LINKED)'!$A37*12,-'PFR (LINKED)'!$F$13,)</f>
        <v>0</v>
      </c>
      <c r="Q26" s="262">
        <f t="shared" si="2"/>
        <v>4740529.86297746</v>
      </c>
      <c r="R26" s="261">
        <f>FV($R$2/1,'PFR (LINKED)'!$A37*1,,-'PFR (LINKED)'!$F$12,)</f>
        <v>5871463.6455927</v>
      </c>
      <c r="S26" s="262">
        <f>FV(R$2/12,'PFR (LINKED)'!$A37*12,-'PFR (LINKED)'!$F$13,)</f>
        <v>0</v>
      </c>
      <c r="T26" s="262">
        <f t="shared" si="3"/>
        <v>5871463.6455927</v>
      </c>
      <c r="U26" s="261">
        <f>FV($U$2/1,'PFR (LINKED)'!$A37*1,,-'PFR (LINKED)'!$F$12,)</f>
        <v>7257874.47218517</v>
      </c>
      <c r="V26" s="262">
        <f>FV(U$2/12,'PFR (LINKED)'!$A37*12,-'PFR (LINKED)'!$F$13,)</f>
        <v>0</v>
      </c>
      <c r="W26" s="262">
        <f t="shared" si="4"/>
        <v>7257874.47218517</v>
      </c>
      <c r="X26" s="261">
        <f>FV($X$2/1,'PFR (LINKED)'!$A37*1,,-'PFR (LINKED)'!$F$12,)</f>
        <v>8954302.43255239</v>
      </c>
      <c r="Y26" s="262">
        <f>FV(X$2/12,'PFR (LINKED)'!$A37*12,-'PFR (LINKED)'!$F$13,)</f>
        <v>0</v>
      </c>
      <c r="Z26" s="262">
        <f t="shared" si="5"/>
        <v>8954302.43255239</v>
      </c>
      <c r="AA26" s="261">
        <f>FV($AA$2/1,'PFR (LINKED)'!$A37*1,,-'PFR (LINKED)'!$F$12,)</f>
        <v>4740529.86297746</v>
      </c>
      <c r="AB26" s="262">
        <f>FV(AA$2/12,'PFR (LINKED)'!$A37*12,-'PFR (LINKED)'!$F$13,)</f>
        <v>0</v>
      </c>
      <c r="AC26" s="262">
        <f t="shared" si="6"/>
        <v>4740529.86297746</v>
      </c>
      <c r="AD26" s="261">
        <f>FV($AD$2/1,'PFR (LINKED)'!$A37*1,,-'PFR (LINKED)'!$F$12,)</f>
        <v>4740529.86297746</v>
      </c>
      <c r="AE26" s="262">
        <f>FV(AD$2/12,'PFR (LINKED)'!$A37*12,-'PFR (LINKED)'!$F$13,)</f>
        <v>0</v>
      </c>
      <c r="AF26" s="262">
        <f t="shared" si="7"/>
        <v>4740529.86297746</v>
      </c>
    </row>
    <row r="27" spans="8:32">
      <c r="H27" s="251">
        <v>24</v>
      </c>
      <c r="I27" s="261">
        <f>FV($I$2/1,'PFR (LINKED)'!$A38*1,,-'PFR (LINKED)'!$F$12,)</f>
        <v>2563304.16489175</v>
      </c>
      <c r="J27" s="262">
        <f>FV(I$2/12,'PFR (LINKED)'!$A38*12,-'PFR (LINKED)'!$F$13,)</f>
        <v>0</v>
      </c>
      <c r="K27" s="262">
        <f t="shared" si="0"/>
        <v>2563304.16489175</v>
      </c>
      <c r="L27" s="261">
        <f>FV($L$2/1,'PFR (LINKED)'!$A38*1,,-'PFR (LINKED)'!$F$12,)</f>
        <v>3225099.9437137</v>
      </c>
      <c r="M27" s="262">
        <f>FV(L$2/12,'PFR (LINKED)'!$A38*12,-'PFR (LINKED)'!$F$13,)</f>
        <v>0</v>
      </c>
      <c r="N27" s="262">
        <f t="shared" si="1"/>
        <v>3225099.9437137</v>
      </c>
      <c r="O27" s="261">
        <f>FV($O$2/1,'PFR (LINKED)'!$A38*1,,-'PFR (LINKED)'!$F$12,)</f>
        <v>5072366.95338589</v>
      </c>
      <c r="P27" s="262">
        <f>FV(O$2/12,'PFR (LINKED)'!$A38*12,-'PFR (LINKED)'!$F$13,)</f>
        <v>0</v>
      </c>
      <c r="Q27" s="262">
        <f t="shared" si="2"/>
        <v>5072366.95338589</v>
      </c>
      <c r="R27" s="261">
        <f>FV($R$2/1,'PFR (LINKED)'!$A38*1,,-'PFR (LINKED)'!$F$12,)</f>
        <v>6341180.73724012</v>
      </c>
      <c r="S27" s="262">
        <f>FV(R$2/12,'PFR (LINKED)'!$A38*12,-'PFR (LINKED)'!$F$13,)</f>
        <v>0</v>
      </c>
      <c r="T27" s="262">
        <f t="shared" si="3"/>
        <v>6341180.73724012</v>
      </c>
      <c r="U27" s="261">
        <f>FV($U$2/1,'PFR (LINKED)'!$A38*1,,-'PFR (LINKED)'!$F$12,)</f>
        <v>7911083.17468183</v>
      </c>
      <c r="V27" s="262">
        <f>FV(U$2/12,'PFR (LINKED)'!$A38*12,-'PFR (LINKED)'!$F$13,)</f>
        <v>0</v>
      </c>
      <c r="W27" s="262">
        <f t="shared" si="4"/>
        <v>7911083.17468183</v>
      </c>
      <c r="X27" s="261">
        <f>FV($X$2/1,'PFR (LINKED)'!$A38*1,,-'PFR (LINKED)'!$F$12,)</f>
        <v>9849732.67580763</v>
      </c>
      <c r="Y27" s="262">
        <f>FV(X$2/12,'PFR (LINKED)'!$A38*12,-'PFR (LINKED)'!$F$13,)</f>
        <v>0</v>
      </c>
      <c r="Z27" s="262">
        <f t="shared" si="5"/>
        <v>9849732.67580763</v>
      </c>
      <c r="AA27" s="261">
        <f>FV($AA$2/1,'PFR (LINKED)'!$A38*1,,-'PFR (LINKED)'!$F$12,)</f>
        <v>5072366.95338589</v>
      </c>
      <c r="AB27" s="262">
        <f>FV(AA$2/12,'PFR (LINKED)'!$A38*12,-'PFR (LINKED)'!$F$13,)</f>
        <v>0</v>
      </c>
      <c r="AC27" s="262">
        <f t="shared" si="6"/>
        <v>5072366.95338589</v>
      </c>
      <c r="AD27" s="261">
        <f>FV($AD$2/1,'PFR (LINKED)'!$A38*1,,-'PFR (LINKED)'!$F$12,)</f>
        <v>5072366.95338589</v>
      </c>
      <c r="AE27" s="262">
        <f>FV(AD$2/12,'PFR (LINKED)'!$A38*12,-'PFR (LINKED)'!$F$13,)</f>
        <v>0</v>
      </c>
      <c r="AF27" s="262">
        <f t="shared" si="7"/>
        <v>5072366.95338589</v>
      </c>
    </row>
    <row r="28" spans="8:32">
      <c r="H28" s="251">
        <v>25</v>
      </c>
      <c r="I28" s="261">
        <f>FV($I$2/1,'PFR (LINKED)'!$A39*1,,-'PFR (LINKED)'!$F$12,)</f>
        <v>2665836.33148742</v>
      </c>
      <c r="J28" s="262">
        <f>FV(I$2/12,'PFR (LINKED)'!$A39*12,-'PFR (LINKED)'!$F$13,)</f>
        <v>0</v>
      </c>
      <c r="K28" s="262">
        <f t="shared" si="0"/>
        <v>2665836.33148742</v>
      </c>
      <c r="L28" s="261">
        <f>FV($L$2/1,'PFR (LINKED)'!$A39*1,,-'PFR (LINKED)'!$F$12,)</f>
        <v>3386354.94089939</v>
      </c>
      <c r="M28" s="262">
        <f>FV(L$2/12,'PFR (LINKED)'!$A39*12,-'PFR (LINKED)'!$F$13,)</f>
        <v>0</v>
      </c>
      <c r="N28" s="262">
        <f t="shared" si="1"/>
        <v>3386354.94089939</v>
      </c>
      <c r="O28" s="261">
        <f>FV($O$2/1,'PFR (LINKED)'!$A39*1,,-'PFR (LINKED)'!$F$12,)</f>
        <v>5427432.6401229</v>
      </c>
      <c r="P28" s="262">
        <f>FV(O$2/12,'PFR (LINKED)'!$A39*12,-'PFR (LINKED)'!$F$13,)</f>
        <v>0</v>
      </c>
      <c r="Q28" s="262">
        <f t="shared" si="2"/>
        <v>5427432.6401229</v>
      </c>
      <c r="R28" s="261">
        <f>FV($R$2/1,'PFR (LINKED)'!$A39*1,,-'PFR (LINKED)'!$F$12,)</f>
        <v>6848475.19621933</v>
      </c>
      <c r="S28" s="262">
        <f>FV(R$2/12,'PFR (LINKED)'!$A39*12,-'PFR (LINKED)'!$F$13,)</f>
        <v>0</v>
      </c>
      <c r="T28" s="262">
        <f t="shared" si="3"/>
        <v>6848475.19621933</v>
      </c>
      <c r="U28" s="261">
        <f>FV($U$2/1,'PFR (LINKED)'!$A39*1,,-'PFR (LINKED)'!$F$12,)</f>
        <v>8623080.6604032</v>
      </c>
      <c r="V28" s="262">
        <f>FV(U$2/12,'PFR (LINKED)'!$A39*12,-'PFR (LINKED)'!$F$13,)</f>
        <v>0</v>
      </c>
      <c r="W28" s="262">
        <f t="shared" si="4"/>
        <v>8623080.6604032</v>
      </c>
      <c r="X28" s="261">
        <f>FV($X$2/1,'PFR (LINKED)'!$A39*1,,-'PFR (LINKED)'!$F$12,)</f>
        <v>10834705.9433884</v>
      </c>
      <c r="Y28" s="262">
        <f>FV(X$2/12,'PFR (LINKED)'!$A39*12,-'PFR (LINKED)'!$F$13,)</f>
        <v>0</v>
      </c>
      <c r="Z28" s="262">
        <f t="shared" si="5"/>
        <v>10834705.9433884</v>
      </c>
      <c r="AA28" s="261">
        <f>FV($AA$2/1,'PFR (LINKED)'!$A39*1,,-'PFR (LINKED)'!$F$12,)</f>
        <v>5427432.6401229</v>
      </c>
      <c r="AB28" s="262">
        <f>FV(AA$2/12,'PFR (LINKED)'!$A39*12,-'PFR (LINKED)'!$F$13,)</f>
        <v>0</v>
      </c>
      <c r="AC28" s="262">
        <f t="shared" si="6"/>
        <v>5427432.6401229</v>
      </c>
      <c r="AD28" s="261">
        <f>FV($AD$2/1,'PFR (LINKED)'!$A39*1,,-'PFR (LINKED)'!$F$12,)</f>
        <v>5427432.6401229</v>
      </c>
      <c r="AE28" s="262">
        <f>FV(AD$2/12,'PFR (LINKED)'!$A39*12,-'PFR (LINKED)'!$F$13,)</f>
        <v>0</v>
      </c>
      <c r="AF28" s="262">
        <f t="shared" si="7"/>
        <v>5427432.6401229</v>
      </c>
    </row>
    <row r="29" spans="8:32">
      <c r="H29" s="251">
        <v>26</v>
      </c>
      <c r="I29" s="261">
        <f>FV($I$2/1,'PFR (LINKED)'!$A40*1,,-'PFR (LINKED)'!$F$12,)</f>
        <v>2772469.78474692</v>
      </c>
      <c r="J29" s="262">
        <f>FV(I$2/12,'PFR (LINKED)'!$A40*12,-'PFR (LINKED)'!$F$13,)</f>
        <v>0</v>
      </c>
      <c r="K29" s="262">
        <f t="shared" si="0"/>
        <v>2772469.78474692</v>
      </c>
      <c r="L29" s="261">
        <f>FV($L$2/1,'PFR (LINKED)'!$A40*1,,-'PFR (LINKED)'!$F$12,)</f>
        <v>3555672.68794436</v>
      </c>
      <c r="M29" s="262">
        <f>FV(L$2/12,'PFR (LINKED)'!$A40*12,-'PFR (LINKED)'!$F$13,)</f>
        <v>0</v>
      </c>
      <c r="N29" s="262">
        <f t="shared" si="1"/>
        <v>3555672.68794436</v>
      </c>
      <c r="O29" s="261">
        <f>FV($O$2/1,'PFR (LINKED)'!$A40*1,,-'PFR (LINKED)'!$F$12,)</f>
        <v>5807352.9249315</v>
      </c>
      <c r="P29" s="262">
        <f>FV(O$2/12,'PFR (LINKED)'!$A40*12,-'PFR (LINKED)'!$F$13,)</f>
        <v>0</v>
      </c>
      <c r="Q29" s="262">
        <f t="shared" si="2"/>
        <v>5807352.9249315</v>
      </c>
      <c r="R29" s="261">
        <f>FV($R$2/1,'PFR (LINKED)'!$A40*1,,-'PFR (LINKED)'!$F$12,)</f>
        <v>7396353.21191687</v>
      </c>
      <c r="S29" s="262">
        <f>FV(R$2/12,'PFR (LINKED)'!$A40*12,-'PFR (LINKED)'!$F$13,)</f>
        <v>0</v>
      </c>
      <c r="T29" s="262">
        <f t="shared" si="3"/>
        <v>7396353.21191687</v>
      </c>
      <c r="U29" s="261">
        <f>FV($U$2/1,'PFR (LINKED)'!$A40*1,,-'PFR (LINKED)'!$F$12,)</f>
        <v>9399157.91983948</v>
      </c>
      <c r="V29" s="262">
        <f>FV(U$2/12,'PFR (LINKED)'!$A40*12,-'PFR (LINKED)'!$F$13,)</f>
        <v>0</v>
      </c>
      <c r="W29" s="262">
        <f t="shared" si="4"/>
        <v>9399157.91983948</v>
      </c>
      <c r="X29" s="261">
        <f>FV($X$2/1,'PFR (LINKED)'!$A40*1,,-'PFR (LINKED)'!$F$12,)</f>
        <v>11918176.5377272</v>
      </c>
      <c r="Y29" s="262">
        <f>FV(X$2/12,'PFR (LINKED)'!$A40*12,-'PFR (LINKED)'!$F$13,)</f>
        <v>0</v>
      </c>
      <c r="Z29" s="262">
        <f t="shared" si="5"/>
        <v>11918176.5377272</v>
      </c>
      <c r="AA29" s="261">
        <f>FV($AA$2/1,'PFR (LINKED)'!$A40*1,,-'PFR (LINKED)'!$F$12,)</f>
        <v>5807352.9249315</v>
      </c>
      <c r="AB29" s="262">
        <f>FV(AA$2/12,'PFR (LINKED)'!$A40*12,-'PFR (LINKED)'!$F$13,)</f>
        <v>0</v>
      </c>
      <c r="AC29" s="262">
        <f t="shared" si="6"/>
        <v>5807352.9249315</v>
      </c>
      <c r="AD29" s="261">
        <f>FV($AD$2/1,'PFR (LINKED)'!$A40*1,,-'PFR (LINKED)'!$F$12,)</f>
        <v>5807352.9249315</v>
      </c>
      <c r="AE29" s="262">
        <f>FV(AD$2/12,'PFR (LINKED)'!$A40*12,-'PFR (LINKED)'!$F$13,)</f>
        <v>0</v>
      </c>
      <c r="AF29" s="262">
        <f t="shared" si="7"/>
        <v>5807352.9249315</v>
      </c>
    </row>
    <row r="30" spans="8:32">
      <c r="H30" s="251">
        <v>27</v>
      </c>
      <c r="I30" s="261">
        <f>FV($I$2/1,'PFR (LINKED)'!$A41*1,,-'PFR (LINKED)'!$F$12,)</f>
        <v>2883368.5761368</v>
      </c>
      <c r="J30" s="262">
        <f>FV(I$2/12,'PFR (LINKED)'!$A41*12,-'PFR (LINKED)'!$F$13,)</f>
        <v>0</v>
      </c>
      <c r="K30" s="262">
        <f t="shared" si="0"/>
        <v>2883368.5761368</v>
      </c>
      <c r="L30" s="261">
        <f>FV($L$2/1,'PFR (LINKED)'!$A41*1,,-'PFR (LINKED)'!$F$12,)</f>
        <v>3733456.32234158</v>
      </c>
      <c r="M30" s="262">
        <f>FV(L$2/12,'PFR (LINKED)'!$A41*12,-'PFR (LINKED)'!$F$13,)</f>
        <v>0</v>
      </c>
      <c r="N30" s="262">
        <f t="shared" si="1"/>
        <v>3733456.32234158</v>
      </c>
      <c r="O30" s="261">
        <f>FV($O$2/1,'PFR (LINKED)'!$A41*1,,-'PFR (LINKED)'!$F$12,)</f>
        <v>6213867.62967671</v>
      </c>
      <c r="P30" s="262">
        <f>FV(O$2/12,'PFR (LINKED)'!$A41*12,-'PFR (LINKED)'!$F$13,)</f>
        <v>0</v>
      </c>
      <c r="Q30" s="262">
        <f t="shared" si="2"/>
        <v>6213867.62967671</v>
      </c>
      <c r="R30" s="261">
        <f>FV($R$2/1,'PFR (LINKED)'!$A41*1,,-'PFR (LINKED)'!$F$12,)</f>
        <v>7988061.46887022</v>
      </c>
      <c r="S30" s="262">
        <f>FV(R$2/12,'PFR (LINKED)'!$A41*12,-'PFR (LINKED)'!$F$13,)</f>
        <v>0</v>
      </c>
      <c r="T30" s="262">
        <f t="shared" si="3"/>
        <v>7988061.46887022</v>
      </c>
      <c r="U30" s="261">
        <f>FV($U$2/1,'PFR (LINKED)'!$A41*1,,-'PFR (LINKED)'!$F$12,)</f>
        <v>10245082.132625</v>
      </c>
      <c r="V30" s="262">
        <f>FV(U$2/12,'PFR (LINKED)'!$A41*12,-'PFR (LINKED)'!$F$13,)</f>
        <v>0</v>
      </c>
      <c r="W30" s="262">
        <f t="shared" si="4"/>
        <v>10245082.132625</v>
      </c>
      <c r="X30" s="261">
        <f>FV($X$2/1,'PFR (LINKED)'!$A41*1,,-'PFR (LINKED)'!$F$12,)</f>
        <v>13109994.1915</v>
      </c>
      <c r="Y30" s="262">
        <f>FV(X$2/12,'PFR (LINKED)'!$A41*12,-'PFR (LINKED)'!$F$13,)</f>
        <v>0</v>
      </c>
      <c r="Z30" s="262">
        <f t="shared" si="5"/>
        <v>13109994.1915</v>
      </c>
      <c r="AA30" s="261">
        <f>FV($AA$2/1,'PFR (LINKED)'!$A41*1,,-'PFR (LINKED)'!$F$12,)</f>
        <v>6213867.62967671</v>
      </c>
      <c r="AB30" s="262">
        <f>FV(AA$2/12,'PFR (LINKED)'!$A41*12,-'PFR (LINKED)'!$F$13,)</f>
        <v>0</v>
      </c>
      <c r="AC30" s="262">
        <f t="shared" si="6"/>
        <v>6213867.62967671</v>
      </c>
      <c r="AD30" s="261">
        <f>FV($AD$2/1,'PFR (LINKED)'!$A41*1,,-'PFR (LINKED)'!$F$12,)</f>
        <v>6213867.62967671</v>
      </c>
      <c r="AE30" s="262">
        <f>FV(AD$2/12,'PFR (LINKED)'!$A41*12,-'PFR (LINKED)'!$F$13,)</f>
        <v>0</v>
      </c>
      <c r="AF30" s="262">
        <f t="shared" si="7"/>
        <v>6213867.62967671</v>
      </c>
    </row>
    <row r="31" spans="8:32">
      <c r="H31" s="251">
        <v>28</v>
      </c>
      <c r="I31" s="261">
        <f>FV($I$2/1,'PFR (LINKED)'!$A42*1,,-'PFR (LINKED)'!$F$12,)</f>
        <v>2998703.31918227</v>
      </c>
      <c r="J31" s="262">
        <f>FV(I$2/12,'PFR (LINKED)'!$A42*12,-'PFR (LINKED)'!$F$13,)</f>
        <v>0</v>
      </c>
      <c r="K31" s="262">
        <f t="shared" si="0"/>
        <v>2998703.31918227</v>
      </c>
      <c r="L31" s="261">
        <f>FV($L$2/1,'PFR (LINKED)'!$A42*1,,-'PFR (LINKED)'!$F$12,)</f>
        <v>3920129.13845865</v>
      </c>
      <c r="M31" s="262">
        <f>FV(L$2/12,'PFR (LINKED)'!$A42*12,-'PFR (LINKED)'!$F$13,)</f>
        <v>0</v>
      </c>
      <c r="N31" s="262">
        <f t="shared" si="1"/>
        <v>3920129.13845865</v>
      </c>
      <c r="O31" s="261">
        <f>FV($O$2/1,'PFR (LINKED)'!$A42*1,,-'PFR (LINKED)'!$F$12,)</f>
        <v>6648838.36375408</v>
      </c>
      <c r="P31" s="262">
        <f>FV(O$2/12,'PFR (LINKED)'!$A42*12,-'PFR (LINKED)'!$F$13,)</f>
        <v>0</v>
      </c>
      <c r="Q31" s="262">
        <f t="shared" si="2"/>
        <v>6648838.36375408</v>
      </c>
      <c r="R31" s="261">
        <f>FV($R$2/1,'PFR (LINKED)'!$A42*1,,-'PFR (LINKED)'!$F$12,)</f>
        <v>8627106.38637984</v>
      </c>
      <c r="S31" s="262">
        <f>FV(R$2/12,'PFR (LINKED)'!$A42*12,-'PFR (LINKED)'!$F$13,)</f>
        <v>0</v>
      </c>
      <c r="T31" s="262">
        <f t="shared" si="3"/>
        <v>8627106.38637984</v>
      </c>
      <c r="U31" s="261">
        <f>FV($U$2/1,'PFR (LINKED)'!$A42*1,,-'PFR (LINKED)'!$F$12,)</f>
        <v>11167139.5245613</v>
      </c>
      <c r="V31" s="262">
        <f>FV(U$2/12,'PFR (LINKED)'!$A42*12,-'PFR (LINKED)'!$F$13,)</f>
        <v>0</v>
      </c>
      <c r="W31" s="262">
        <f t="shared" si="4"/>
        <v>11167139.5245613</v>
      </c>
      <c r="X31" s="261">
        <f>FV($X$2/1,'PFR (LINKED)'!$A42*1,,-'PFR (LINKED)'!$F$12,)</f>
        <v>14420993.61065</v>
      </c>
      <c r="Y31" s="262">
        <f>FV(X$2/12,'PFR (LINKED)'!$A42*12,-'PFR (LINKED)'!$F$13,)</f>
        <v>0</v>
      </c>
      <c r="Z31" s="262">
        <f t="shared" si="5"/>
        <v>14420993.61065</v>
      </c>
      <c r="AA31" s="261">
        <f>FV($AA$2/1,'PFR (LINKED)'!$A42*1,,-'PFR (LINKED)'!$F$12,)</f>
        <v>6648838.36375408</v>
      </c>
      <c r="AB31" s="262">
        <f>FV(AA$2/12,'PFR (LINKED)'!$A42*12,-'PFR (LINKED)'!$F$13,)</f>
        <v>0</v>
      </c>
      <c r="AC31" s="262">
        <f t="shared" si="6"/>
        <v>6648838.36375408</v>
      </c>
      <c r="AD31" s="261">
        <f>FV($AD$2/1,'PFR (LINKED)'!$A42*1,,-'PFR (LINKED)'!$F$12,)</f>
        <v>6648838.36375408</v>
      </c>
      <c r="AE31" s="262">
        <f>FV(AD$2/12,'PFR (LINKED)'!$A42*12,-'PFR (LINKED)'!$F$13,)</f>
        <v>0</v>
      </c>
      <c r="AF31" s="262">
        <f t="shared" si="7"/>
        <v>6648838.36375408</v>
      </c>
    </row>
    <row r="32" spans="8:32">
      <c r="H32" s="251">
        <v>29</v>
      </c>
      <c r="I32" s="261">
        <f>FV($I$2/1,'PFR (LINKED)'!$A43*1,,-'PFR (LINKED)'!$F$12,)</f>
        <v>3118651.45194956</v>
      </c>
      <c r="J32" s="262">
        <f>FV(I$2/12,'PFR (LINKED)'!$A43*12,-'PFR (LINKED)'!$F$13,)</f>
        <v>0</v>
      </c>
      <c r="K32" s="262">
        <f t="shared" si="0"/>
        <v>3118651.45194956</v>
      </c>
      <c r="L32" s="261">
        <f>FV($L$2/1,'PFR (LINKED)'!$A43*1,,-'PFR (LINKED)'!$F$12,)</f>
        <v>4116135.59538159</v>
      </c>
      <c r="M32" s="262">
        <f>FV(L$2/12,'PFR (LINKED)'!$A43*12,-'PFR (LINKED)'!$F$13,)</f>
        <v>0</v>
      </c>
      <c r="N32" s="262">
        <f t="shared" si="1"/>
        <v>4116135.59538159</v>
      </c>
      <c r="O32" s="261">
        <f>FV($O$2/1,'PFR (LINKED)'!$A43*1,,-'PFR (LINKED)'!$F$12,)</f>
        <v>7114257.04921686</v>
      </c>
      <c r="P32" s="262">
        <f>FV(O$2/12,'PFR (LINKED)'!$A43*12,-'PFR (LINKED)'!$F$13,)</f>
        <v>0</v>
      </c>
      <c r="Q32" s="262">
        <f t="shared" si="2"/>
        <v>7114257.04921686</v>
      </c>
      <c r="R32" s="261">
        <f>FV($R$2/1,'PFR (LINKED)'!$A43*1,,-'PFR (LINKED)'!$F$12,)</f>
        <v>9317274.89729023</v>
      </c>
      <c r="S32" s="262">
        <f>FV(R$2/12,'PFR (LINKED)'!$A43*12,-'PFR (LINKED)'!$F$13,)</f>
        <v>0</v>
      </c>
      <c r="T32" s="262">
        <f t="shared" si="3"/>
        <v>9317274.89729023</v>
      </c>
      <c r="U32" s="261">
        <f>FV($U$2/1,'PFR (LINKED)'!$A43*1,,-'PFR (LINKED)'!$F$12,)</f>
        <v>12172182.0817718</v>
      </c>
      <c r="V32" s="262">
        <f>FV(U$2/12,'PFR (LINKED)'!$A43*12,-'PFR (LINKED)'!$F$13,)</f>
        <v>0</v>
      </c>
      <c r="W32" s="262">
        <f t="shared" si="4"/>
        <v>12172182.0817718</v>
      </c>
      <c r="X32" s="261">
        <f>FV($X$2/1,'PFR (LINKED)'!$A43*1,,-'PFR (LINKED)'!$F$12,)</f>
        <v>15863092.971715</v>
      </c>
      <c r="Y32" s="262">
        <f>FV(X$2/12,'PFR (LINKED)'!$A43*12,-'PFR (LINKED)'!$F$13,)</f>
        <v>0</v>
      </c>
      <c r="Z32" s="262">
        <f t="shared" si="5"/>
        <v>15863092.971715</v>
      </c>
      <c r="AA32" s="261">
        <f>FV($AA$2/1,'PFR (LINKED)'!$A43*1,,-'PFR (LINKED)'!$F$12,)</f>
        <v>7114257.04921686</v>
      </c>
      <c r="AB32" s="262">
        <f>FV(AA$2/12,'PFR (LINKED)'!$A43*12,-'PFR (LINKED)'!$F$13,)</f>
        <v>0</v>
      </c>
      <c r="AC32" s="262">
        <f t="shared" si="6"/>
        <v>7114257.04921686</v>
      </c>
      <c r="AD32" s="261">
        <f>FV($AD$2/1,'PFR (LINKED)'!$A43*1,,-'PFR (LINKED)'!$F$12,)</f>
        <v>7114257.04921686</v>
      </c>
      <c r="AE32" s="262">
        <f>FV(AD$2/12,'PFR (LINKED)'!$A43*12,-'PFR (LINKED)'!$F$13,)</f>
        <v>0</v>
      </c>
      <c r="AF32" s="262">
        <f t="shared" si="7"/>
        <v>7114257.04921686</v>
      </c>
    </row>
    <row r="33" spans="8:32">
      <c r="H33" s="251">
        <v>30</v>
      </c>
      <c r="I33" s="261">
        <f>FV($I$2/1,'PFR (LINKED)'!$A44*1,,-'PFR (LINKED)'!$F$12,)</f>
        <v>3243397.51002754</v>
      </c>
      <c r="J33" s="262">
        <f>FV(I$2/12,'PFR (LINKED)'!$A44*12,-'PFR (LINKED)'!$F$13,)</f>
        <v>0</v>
      </c>
      <c r="K33" s="262">
        <f t="shared" si="0"/>
        <v>3243397.51002754</v>
      </c>
      <c r="L33" s="261">
        <f>FV($L$2/1,'PFR (LINKED)'!$A44*1,,-'PFR (LINKED)'!$F$12,)</f>
        <v>4321942.37515067</v>
      </c>
      <c r="M33" s="262">
        <f>FV(L$2/12,'PFR (LINKED)'!$A44*12,-'PFR (LINKED)'!$F$13,)</f>
        <v>0</v>
      </c>
      <c r="N33" s="262">
        <f t="shared" si="1"/>
        <v>4321942.37515067</v>
      </c>
      <c r="O33" s="261">
        <f>FV($O$2/1,'PFR (LINKED)'!$A44*1,,-'PFR (LINKED)'!$F$12,)</f>
        <v>7612255.04266204</v>
      </c>
      <c r="P33" s="262">
        <f>FV(O$2/12,'PFR (LINKED)'!$A44*12,-'PFR (LINKED)'!$F$13,)</f>
        <v>0</v>
      </c>
      <c r="Q33" s="262">
        <f t="shared" si="2"/>
        <v>7612255.04266204</v>
      </c>
      <c r="R33" s="261">
        <f>FV($R$2/1,'PFR (LINKED)'!$A44*1,,-'PFR (LINKED)'!$F$12,)</f>
        <v>10062656.8890735</v>
      </c>
      <c r="S33" s="262">
        <f>FV(R$2/12,'PFR (LINKED)'!$A44*12,-'PFR (LINKED)'!$F$13,)</f>
        <v>0</v>
      </c>
      <c r="T33" s="262">
        <f t="shared" si="3"/>
        <v>10062656.8890735</v>
      </c>
      <c r="U33" s="261">
        <f>FV($U$2/1,'PFR (LINKED)'!$A44*1,,-'PFR (LINKED)'!$F$12,)</f>
        <v>13267678.4691313</v>
      </c>
      <c r="V33" s="262">
        <f>FV(U$2/12,'PFR (LINKED)'!$A44*12,-'PFR (LINKED)'!$F$13,)</f>
        <v>0</v>
      </c>
      <c r="W33" s="262">
        <f t="shared" si="4"/>
        <v>13267678.4691313</v>
      </c>
      <c r="X33" s="261">
        <f>FV($X$2/1,'PFR (LINKED)'!$A44*1,,-'PFR (LINKED)'!$F$12,)</f>
        <v>17449402.2688864</v>
      </c>
      <c r="Y33" s="262">
        <f>FV(X$2/12,'PFR (LINKED)'!$A44*12,-'PFR (LINKED)'!$F$13,)</f>
        <v>0</v>
      </c>
      <c r="Z33" s="262">
        <f t="shared" si="5"/>
        <v>17449402.2688864</v>
      </c>
      <c r="AA33" s="261">
        <f>FV($AA$2/1,'PFR (LINKED)'!$A44*1,,-'PFR (LINKED)'!$F$12,)</f>
        <v>7612255.04266204</v>
      </c>
      <c r="AB33" s="262">
        <f>FV(AA$2/12,'PFR (LINKED)'!$A44*12,-'PFR (LINKED)'!$F$13,)</f>
        <v>0</v>
      </c>
      <c r="AC33" s="262">
        <f t="shared" si="6"/>
        <v>7612255.04266204</v>
      </c>
      <c r="AD33" s="261">
        <f>FV($AD$2/1,'PFR (LINKED)'!$A44*1,,-'PFR (LINKED)'!$F$12,)</f>
        <v>7612255.04266204</v>
      </c>
      <c r="AE33" s="262">
        <f>FV(AD$2/12,'PFR (LINKED)'!$A44*12,-'PFR (LINKED)'!$F$13,)</f>
        <v>0</v>
      </c>
      <c r="AF33" s="262">
        <f t="shared" si="7"/>
        <v>7612255.04266204</v>
      </c>
    </row>
    <row r="34" spans="8:32">
      <c r="H34" s="251">
        <v>31</v>
      </c>
      <c r="I34" s="261">
        <f>FV($I$2/1,'PFR (LINKED)'!$A45*1,,-'PFR (LINKED)'!$F$12,)</f>
        <v>3373133.41042864</v>
      </c>
      <c r="J34" s="262">
        <f>FV(I$2/12,'PFR (LINKED)'!$A45*12,-'PFR (LINKED)'!$F$13,)</f>
        <v>0</v>
      </c>
      <c r="K34" s="262">
        <f t="shared" si="0"/>
        <v>3373133.41042864</v>
      </c>
      <c r="L34" s="261">
        <f>FV($L$2/1,'PFR (LINKED)'!$A45*1,,-'PFR (LINKED)'!$F$12,)</f>
        <v>4538039.4939082</v>
      </c>
      <c r="M34" s="262">
        <f>FV(L$2/12,'PFR (LINKED)'!$A45*12,-'PFR (LINKED)'!$F$13,)</f>
        <v>0</v>
      </c>
      <c r="N34" s="262">
        <f t="shared" si="1"/>
        <v>4538039.4939082</v>
      </c>
      <c r="O34" s="261">
        <f>FV($O$2/1,'PFR (LINKED)'!$A45*1,,-'PFR (LINKED)'!$F$12,)</f>
        <v>8145112.89564839</v>
      </c>
      <c r="P34" s="262">
        <f>FV(O$2/12,'PFR (LINKED)'!$A45*12,-'PFR (LINKED)'!$F$13,)</f>
        <v>0</v>
      </c>
      <c r="Q34" s="262">
        <f t="shared" si="2"/>
        <v>8145112.89564839</v>
      </c>
      <c r="R34" s="261">
        <f>FV($R$2/1,'PFR (LINKED)'!$A45*1,,-'PFR (LINKED)'!$F$12,)</f>
        <v>10867669.4401993</v>
      </c>
      <c r="S34" s="262">
        <f>FV(R$2/12,'PFR (LINKED)'!$A45*12,-'PFR (LINKED)'!$F$13,)</f>
        <v>0</v>
      </c>
      <c r="T34" s="262">
        <f t="shared" si="3"/>
        <v>10867669.4401993</v>
      </c>
      <c r="U34" s="261">
        <f>FV($U$2/1,'PFR (LINKED)'!$A45*1,,-'PFR (LINKED)'!$F$12,)</f>
        <v>14461769.5313531</v>
      </c>
      <c r="V34" s="262">
        <f>FV(U$2/12,'PFR (LINKED)'!$A45*12,-'PFR (LINKED)'!$F$13,)</f>
        <v>0</v>
      </c>
      <c r="W34" s="262">
        <f t="shared" si="4"/>
        <v>14461769.5313531</v>
      </c>
      <c r="X34" s="261">
        <f>FV($X$2/1,'PFR (LINKED)'!$A45*1,,-'PFR (LINKED)'!$F$12,)</f>
        <v>19194342.4957751</v>
      </c>
      <c r="Y34" s="262">
        <f>FV(X$2/12,'PFR (LINKED)'!$A45*12,-'PFR (LINKED)'!$F$13,)</f>
        <v>0</v>
      </c>
      <c r="Z34" s="262">
        <f t="shared" si="5"/>
        <v>19194342.4957751</v>
      </c>
      <c r="AA34" s="261">
        <f>FV($AA$2/1,'PFR (LINKED)'!$A45*1,,-'PFR (LINKED)'!$F$12,)</f>
        <v>8145112.89564839</v>
      </c>
      <c r="AB34" s="262">
        <f>FV(AA$2/12,'PFR (LINKED)'!$A45*12,-'PFR (LINKED)'!$F$13,)</f>
        <v>0</v>
      </c>
      <c r="AC34" s="262">
        <f t="shared" si="6"/>
        <v>8145112.89564839</v>
      </c>
      <c r="AD34" s="261">
        <f>FV($AD$2/1,'PFR (LINKED)'!$A45*1,,-'PFR (LINKED)'!$F$12,)</f>
        <v>8145112.89564839</v>
      </c>
      <c r="AE34" s="262">
        <f>FV(AD$2/12,'PFR (LINKED)'!$A45*12,-'PFR (LINKED)'!$F$13,)</f>
        <v>0</v>
      </c>
      <c r="AF34" s="262">
        <f t="shared" si="7"/>
        <v>8145112.89564839</v>
      </c>
    </row>
    <row r="35" spans="8:32">
      <c r="H35" s="251">
        <v>32</v>
      </c>
      <c r="I35" s="263">
        <f>FV($I$2/1,'PFR (LINKED)'!$A46*1,,-'PFR (LINKED)'!$F$12,)</f>
        <v>3508058.74684579</v>
      </c>
      <c r="J35" s="264">
        <f>FV(I$2/12,'PFR (LINKED)'!$A46*12,-'PFR (LINKED)'!$F$13,)</f>
        <v>0</v>
      </c>
      <c r="K35" s="262">
        <f t="shared" si="0"/>
        <v>3508058.74684579</v>
      </c>
      <c r="L35" s="263">
        <f>FV($L$2/1,'PFR (LINKED)'!$A46*1,,-'PFR (LINKED)'!$F$12,)</f>
        <v>4764941.46860361</v>
      </c>
      <c r="M35" s="264">
        <f>FV(L$2/12,'PFR (LINKED)'!$A46*12,-'PFR (LINKED)'!$F$13,)</f>
        <v>0</v>
      </c>
      <c r="N35" s="262">
        <f t="shared" si="1"/>
        <v>4764941.46860361</v>
      </c>
      <c r="O35" s="263">
        <f>FV($O$2/1,'PFR (LINKED)'!$A46*1,,-'PFR (LINKED)'!$F$12,)</f>
        <v>8715270.79834377</v>
      </c>
      <c r="P35" s="264">
        <f>FV(O$2/12,'PFR (LINKED)'!$A46*12,-'PFR (LINKED)'!$F$13,)</f>
        <v>0</v>
      </c>
      <c r="Q35" s="262">
        <f t="shared" si="2"/>
        <v>8715270.79834377</v>
      </c>
      <c r="R35" s="263">
        <f>FV($R$2/1,'PFR (LINKED)'!$A46*1,,-'PFR (LINKED)'!$F$12,)</f>
        <v>11737082.9954153</v>
      </c>
      <c r="S35" s="264">
        <f>FV(R$2/12,'PFR (LINKED)'!$A46*12,-'PFR (LINKED)'!$F$13,)</f>
        <v>0</v>
      </c>
      <c r="T35" s="262">
        <f t="shared" si="3"/>
        <v>11737082.9954153</v>
      </c>
      <c r="U35" s="263">
        <f>FV($U$2/1,'PFR (LINKED)'!$A46*1,,-'PFR (LINKED)'!$F$12,)</f>
        <v>15763328.7891749</v>
      </c>
      <c r="V35" s="264">
        <f>FV(U$2/12,'PFR (LINKED)'!$A46*12,-'PFR (LINKED)'!$F$13,)</f>
        <v>0</v>
      </c>
      <c r="W35" s="262">
        <f t="shared" si="4"/>
        <v>15763328.7891749</v>
      </c>
      <c r="X35" s="263">
        <f>FV($X$2/1,'PFR (LINKED)'!$A46*1,,-'PFR (LINKED)'!$F$12,)</f>
        <v>21113776.7453526</v>
      </c>
      <c r="Y35" s="264">
        <f>FV(X$2/12,'PFR (LINKED)'!$A46*12,-'PFR (LINKED)'!$F$13,)</f>
        <v>0</v>
      </c>
      <c r="Z35" s="262">
        <f t="shared" si="5"/>
        <v>21113776.7453526</v>
      </c>
      <c r="AA35" s="261">
        <f>FV($AA$2/1,'PFR (LINKED)'!$A46*1,,-'PFR (LINKED)'!$F$12,)</f>
        <v>8715270.79834377</v>
      </c>
      <c r="AB35" s="264">
        <f>FV(AA$2/12,'PFR (LINKED)'!$A46*12,-'PFR (LINKED)'!$F$13,)</f>
        <v>0</v>
      </c>
      <c r="AC35" s="262">
        <f t="shared" si="6"/>
        <v>8715270.79834377</v>
      </c>
      <c r="AD35" s="261">
        <f>FV($AD$2/1,'PFR (LINKED)'!$A46*1,,-'PFR (LINKED)'!$F$12,)</f>
        <v>8715270.79834377</v>
      </c>
      <c r="AE35" s="264">
        <f>FV(AD$2/12,'PFR (LINKED)'!$A46*12,-'PFR (LINKED)'!$F$13,)</f>
        <v>0</v>
      </c>
      <c r="AF35" s="262">
        <f t="shared" si="7"/>
        <v>8715270.79834377</v>
      </c>
    </row>
    <row r="36" spans="8:32">
      <c r="H36" s="251">
        <v>33</v>
      </c>
      <c r="I36" s="261">
        <f>FV($I$2/1,'PFR (LINKED)'!$A47*1,,-'PFR (LINKED)'!$F$12,)</f>
        <v>3648381.09671962</v>
      </c>
      <c r="J36" s="262">
        <f>FV(I$2/12,'PFR (LINKED)'!$A47*12,-'PFR (LINKED)'!$F$13,)</f>
        <v>0</v>
      </c>
      <c r="K36" s="262">
        <f t="shared" si="0"/>
        <v>3648381.09671962</v>
      </c>
      <c r="L36" s="261">
        <f>FV($L$2/1,'PFR (LINKED)'!$A47*1,,-'PFR (LINKED)'!$F$12,)</f>
        <v>5003188.54203379</v>
      </c>
      <c r="M36" s="262">
        <f>FV(L$2/12,'PFR (LINKED)'!$A47*12,-'PFR (LINKED)'!$F$13,)</f>
        <v>0</v>
      </c>
      <c r="N36" s="262">
        <f t="shared" si="1"/>
        <v>5003188.54203379</v>
      </c>
      <c r="O36" s="261">
        <f>FV($O$2/1,'PFR (LINKED)'!$A47*1,,-'PFR (LINKED)'!$F$12,)</f>
        <v>9325339.75422784</v>
      </c>
      <c r="P36" s="262">
        <f>FV(O$2/12,'PFR (LINKED)'!$A47*12,-'PFR (LINKED)'!$F$13,)</f>
        <v>0</v>
      </c>
      <c r="Q36" s="262">
        <f t="shared" si="2"/>
        <v>9325339.75422784</v>
      </c>
      <c r="R36" s="261">
        <f>FV($R$2/1,'PFR (LINKED)'!$A47*1,,-'PFR (LINKED)'!$F$12,)</f>
        <v>12676049.6350485</v>
      </c>
      <c r="S36" s="262">
        <f>FV(R$2/12,'PFR (LINKED)'!$A47*12,-'PFR (LINKED)'!$F$13,)</f>
        <v>0</v>
      </c>
      <c r="T36" s="262">
        <f t="shared" si="3"/>
        <v>12676049.6350485</v>
      </c>
      <c r="U36" s="261">
        <f>FV($U$2/1,'PFR (LINKED)'!$A47*1,,-'PFR (LINKED)'!$F$12,)</f>
        <v>17182028.3802006</v>
      </c>
      <c r="V36" s="262">
        <f>FV(U$2/12,'PFR (LINKED)'!$A47*12,-'PFR (LINKED)'!$F$13,)</f>
        <v>0</v>
      </c>
      <c r="W36" s="262">
        <f t="shared" si="4"/>
        <v>17182028.3802006</v>
      </c>
      <c r="X36" s="261">
        <f>FV($X$2/1,'PFR (LINKED)'!$A47*1,,-'PFR (LINKED)'!$F$12,)</f>
        <v>23225154.4198879</v>
      </c>
      <c r="Y36" s="262">
        <f>FV(X$2/12,'PFR (LINKED)'!$A47*12,-'PFR (LINKED)'!$F$13,)</f>
        <v>0</v>
      </c>
      <c r="Z36" s="262">
        <f t="shared" si="5"/>
        <v>23225154.4198879</v>
      </c>
      <c r="AA36" s="261">
        <f>FV($AA$2/1,'PFR (LINKED)'!$A47*1,,-'PFR (LINKED)'!$F$12,)</f>
        <v>9325339.75422784</v>
      </c>
      <c r="AB36" s="262">
        <f>FV(AA$2/12,'PFR (LINKED)'!$A47*12,-'PFR (LINKED)'!$F$13,)</f>
        <v>0</v>
      </c>
      <c r="AC36" s="262">
        <f t="shared" si="6"/>
        <v>9325339.75422784</v>
      </c>
      <c r="AD36" s="261">
        <f>FV($AD$2/1,'PFR (LINKED)'!$A47*1,,-'PFR (LINKED)'!$F$12,)</f>
        <v>9325339.75422784</v>
      </c>
      <c r="AE36" s="262">
        <f>FV(AD$2/12,'PFR (LINKED)'!$A47*12,-'PFR (LINKED)'!$F$13,)</f>
        <v>0</v>
      </c>
      <c r="AF36" s="262">
        <f t="shared" si="7"/>
        <v>9325339.75422784</v>
      </c>
    </row>
    <row r="37" spans="8:32">
      <c r="H37" s="251">
        <v>34</v>
      </c>
      <c r="I37" s="261">
        <f>FV($I$2/1,'PFR (LINKED)'!$A48*1,,-'PFR (LINKED)'!$F$12,)</f>
        <v>3794316.34058841</v>
      </c>
      <c r="J37" s="262">
        <f>FV(I$2/12,'PFR (LINKED)'!$A48*12,-'PFR (LINKED)'!$F$13,)</f>
        <v>0</v>
      </c>
      <c r="K37" s="262">
        <f t="shared" si="0"/>
        <v>3794316.34058841</v>
      </c>
      <c r="L37" s="261">
        <f>FV($L$2/1,'PFR (LINKED)'!$A48*1,,-'PFR (LINKED)'!$F$12,)</f>
        <v>5253347.96913548</v>
      </c>
      <c r="M37" s="262">
        <f>FV(L$2/12,'PFR (LINKED)'!$A48*12,-'PFR (LINKED)'!$F$13,)</f>
        <v>0</v>
      </c>
      <c r="N37" s="262">
        <f t="shared" si="1"/>
        <v>5253347.96913548</v>
      </c>
      <c r="O37" s="261">
        <f>FV($O$2/1,'PFR (LINKED)'!$A48*1,,-'PFR (LINKED)'!$F$12,)</f>
        <v>9978113.53702379</v>
      </c>
      <c r="P37" s="262">
        <f>FV(O$2/12,'PFR (LINKED)'!$A48*12,-'PFR (LINKED)'!$F$13,)</f>
        <v>0</v>
      </c>
      <c r="Q37" s="262">
        <f t="shared" si="2"/>
        <v>9978113.53702379</v>
      </c>
      <c r="R37" s="261">
        <f>FV($R$2/1,'PFR (LINKED)'!$A48*1,,-'PFR (LINKED)'!$F$12,)</f>
        <v>13690133.6058524</v>
      </c>
      <c r="S37" s="262">
        <f>FV(R$2/12,'PFR (LINKED)'!$A48*12,-'PFR (LINKED)'!$F$13,)</f>
        <v>0</v>
      </c>
      <c r="T37" s="262">
        <f t="shared" si="3"/>
        <v>13690133.6058524</v>
      </c>
      <c r="U37" s="261">
        <f>FV($U$2/1,'PFR (LINKED)'!$A48*1,,-'PFR (LINKED)'!$F$12,)</f>
        <v>18728410.9344187</v>
      </c>
      <c r="V37" s="262">
        <f>FV(U$2/12,'PFR (LINKED)'!$A48*12,-'PFR (LINKED)'!$F$13,)</f>
        <v>0</v>
      </c>
      <c r="W37" s="262">
        <f t="shared" si="4"/>
        <v>18728410.9344187</v>
      </c>
      <c r="X37" s="261">
        <f>FV($X$2/1,'PFR (LINKED)'!$A48*1,,-'PFR (LINKED)'!$F$12,)</f>
        <v>25547669.8618767</v>
      </c>
      <c r="Y37" s="262">
        <f>FV(X$2/12,'PFR (LINKED)'!$A48*12,-'PFR (LINKED)'!$F$13,)</f>
        <v>0</v>
      </c>
      <c r="Z37" s="262">
        <f t="shared" si="5"/>
        <v>25547669.8618767</v>
      </c>
      <c r="AA37" s="261">
        <f>FV($AA$2/1,'PFR (LINKED)'!$A48*1,,-'PFR (LINKED)'!$F$12,)</f>
        <v>9978113.53702379</v>
      </c>
      <c r="AB37" s="262">
        <f>FV(AA$2/12,'PFR (LINKED)'!$A48*12,-'PFR (LINKED)'!$F$13,)</f>
        <v>0</v>
      </c>
      <c r="AC37" s="262">
        <f t="shared" si="6"/>
        <v>9978113.53702379</v>
      </c>
      <c r="AD37" s="261">
        <f>FV($AD$2/1,'PFR (LINKED)'!$A48*1,,-'PFR (LINKED)'!$F$12,)</f>
        <v>9978113.53702379</v>
      </c>
      <c r="AE37" s="262">
        <f>FV(AD$2/12,'PFR (LINKED)'!$A48*12,-'PFR (LINKED)'!$F$13,)</f>
        <v>0</v>
      </c>
      <c r="AF37" s="262">
        <f t="shared" si="7"/>
        <v>9978113.53702379</v>
      </c>
    </row>
    <row r="38" spans="8:32">
      <c r="H38" s="251">
        <v>35</v>
      </c>
      <c r="I38" s="261">
        <f>FV($I$2/1,'PFR (LINKED)'!$A49*1,,-'PFR (LINKED)'!$F$12,)</f>
        <v>3946088.99421194</v>
      </c>
      <c r="J38" s="262">
        <f>FV(I$2/12,'PFR (LINKED)'!$A49*12,-'PFR (LINKED)'!$F$13,)</f>
        <v>0</v>
      </c>
      <c r="K38" s="262">
        <f t="shared" si="0"/>
        <v>3946088.99421194</v>
      </c>
      <c r="L38" s="261">
        <f>FV($L$2/1,'PFR (LINKED)'!$A49*1,,-'PFR (LINKED)'!$F$12,)</f>
        <v>5516015.36759226</v>
      </c>
      <c r="M38" s="262">
        <f>FV(L$2/12,'PFR (LINKED)'!$A49*12,-'PFR (LINKED)'!$F$13,)</f>
        <v>0</v>
      </c>
      <c r="N38" s="262">
        <f t="shared" si="1"/>
        <v>5516015.36759226</v>
      </c>
      <c r="O38" s="261">
        <f>FV($O$2/1,'PFR (LINKED)'!$A49*1,,-'PFR (LINKED)'!$F$12,)</f>
        <v>10676581.4846155</v>
      </c>
      <c r="P38" s="262">
        <f>FV(O$2/12,'PFR (LINKED)'!$A49*12,-'PFR (LINKED)'!$F$13,)</f>
        <v>0</v>
      </c>
      <c r="Q38" s="262">
        <f t="shared" si="2"/>
        <v>10676581.4846155</v>
      </c>
      <c r="R38" s="261">
        <f>FV($R$2/1,'PFR (LINKED)'!$A49*1,,-'PFR (LINKED)'!$F$12,)</f>
        <v>14785344.2943206</v>
      </c>
      <c r="S38" s="262">
        <f>FV(R$2/12,'PFR (LINKED)'!$A49*12,-'PFR (LINKED)'!$F$13,)</f>
        <v>0</v>
      </c>
      <c r="T38" s="262">
        <f t="shared" si="3"/>
        <v>14785344.2943206</v>
      </c>
      <c r="U38" s="261">
        <f>FV($U$2/1,'PFR (LINKED)'!$A49*1,,-'PFR (LINKED)'!$F$12,)</f>
        <v>20413967.9185163</v>
      </c>
      <c r="V38" s="262">
        <f>FV(U$2/12,'PFR (LINKED)'!$A49*12,-'PFR (LINKED)'!$F$13,)</f>
        <v>0</v>
      </c>
      <c r="W38" s="262">
        <f t="shared" si="4"/>
        <v>20413967.9185163</v>
      </c>
      <c r="X38" s="261">
        <f>FV($X$2/1,'PFR (LINKED)'!$A49*1,,-'PFR (LINKED)'!$F$12,)</f>
        <v>28102436.8480643</v>
      </c>
      <c r="Y38" s="262">
        <f>FV(X$2/12,'PFR (LINKED)'!$A49*12,-'PFR (LINKED)'!$F$13,)</f>
        <v>0</v>
      </c>
      <c r="Z38" s="262">
        <f t="shared" si="5"/>
        <v>28102436.8480643</v>
      </c>
      <c r="AA38" s="261">
        <f>FV($AA$2/1,'PFR (LINKED)'!$A49*1,,-'PFR (LINKED)'!$F$12,)</f>
        <v>10676581.4846155</v>
      </c>
      <c r="AB38" s="262">
        <f>FV(AA$2/12,'PFR (LINKED)'!$A49*12,-'PFR (LINKED)'!$F$13,)</f>
        <v>0</v>
      </c>
      <c r="AC38" s="262">
        <f t="shared" si="6"/>
        <v>10676581.4846155</v>
      </c>
      <c r="AD38" s="261">
        <f>FV($AD$2/1,'PFR (LINKED)'!$A49*1,,-'PFR (LINKED)'!$F$12,)</f>
        <v>10676581.4846155</v>
      </c>
      <c r="AE38" s="262">
        <f>FV(AD$2/12,'PFR (LINKED)'!$A49*12,-'PFR (LINKED)'!$F$13,)</f>
        <v>0</v>
      </c>
      <c r="AF38" s="262">
        <f t="shared" si="7"/>
        <v>10676581.4846155</v>
      </c>
    </row>
    <row r="39" spans="8:32">
      <c r="H39" s="251">
        <v>36</v>
      </c>
      <c r="I39" s="261">
        <f>FV($I$2/1,'PFR (LINKED)'!$A50*1,,-'PFR (LINKED)'!$F$12,)</f>
        <v>4103932.55398042</v>
      </c>
      <c r="J39" s="262">
        <f>FV(I$2/12,'PFR (LINKED)'!$A50*12,-'PFR (LINKED)'!$F$13,)</f>
        <v>0</v>
      </c>
      <c r="K39" s="262">
        <f t="shared" ref="K39:K48" si="8">I39+J39</f>
        <v>4103932.55398042</v>
      </c>
      <c r="L39" s="261">
        <f>FV($L$2/1,'PFR (LINKED)'!$A50*1,,-'PFR (LINKED)'!$F$12,)</f>
        <v>5791816.13597187</v>
      </c>
      <c r="M39" s="262">
        <f>FV(L$2/12,'PFR (LINKED)'!$A50*12,-'PFR (LINKED)'!$F$13,)</f>
        <v>0</v>
      </c>
      <c r="N39" s="262">
        <f t="shared" ref="N39:N48" si="9">L39+M39</f>
        <v>5791816.13597187</v>
      </c>
      <c r="O39" s="261">
        <f>FV($O$2/1,'PFR (LINKED)'!$A50*1,,-'PFR (LINKED)'!$F$12,)</f>
        <v>11423942.1885385</v>
      </c>
      <c r="P39" s="262">
        <f>FV(O$2/12,'PFR (LINKED)'!$A50*12,-'PFR (LINKED)'!$F$13,)</f>
        <v>0</v>
      </c>
      <c r="Q39" s="262">
        <f t="shared" ref="Q39:Q48" si="10">O39+P39</f>
        <v>11423942.1885385</v>
      </c>
      <c r="R39" s="261">
        <f>FV($R$2/1,'PFR (LINKED)'!$A50*1,,-'PFR (LINKED)'!$F$12,)</f>
        <v>15968171.8378662</v>
      </c>
      <c r="S39" s="262">
        <f>FV(R$2/12,'PFR (LINKED)'!$A50*12,-'PFR (LINKED)'!$F$13,)</f>
        <v>0</v>
      </c>
      <c r="T39" s="262">
        <f t="shared" ref="T39:T48" si="11">R39+S39</f>
        <v>15968171.8378662</v>
      </c>
      <c r="U39" s="261">
        <f>FV($U$2/1,'PFR (LINKED)'!$A50*1,,-'PFR (LINKED)'!$F$12,)</f>
        <v>22251225.0311828</v>
      </c>
      <c r="V39" s="262">
        <f>FV(U$2/12,'PFR (LINKED)'!$A50*12,-'PFR (LINKED)'!$F$13,)</f>
        <v>0</v>
      </c>
      <c r="W39" s="262">
        <f t="shared" ref="W39:W48" si="12">U39+V39</f>
        <v>22251225.0311828</v>
      </c>
      <c r="X39" s="261">
        <f>FV($X$2/1,'PFR (LINKED)'!$A50*1,,-'PFR (LINKED)'!$F$12,)</f>
        <v>30912680.5328708</v>
      </c>
      <c r="Y39" s="262">
        <f>FV(X$2/12,'PFR (LINKED)'!$A50*12,-'PFR (LINKED)'!$F$13,)</f>
        <v>0</v>
      </c>
      <c r="Z39" s="262">
        <f t="shared" ref="Z39:Z48" si="13">X39+Y39</f>
        <v>30912680.5328708</v>
      </c>
      <c r="AA39" s="261">
        <f>FV($AA$2/1,'PFR (LINKED)'!$A50*1,,-'PFR (LINKED)'!$F$12,)</f>
        <v>11423942.1885385</v>
      </c>
      <c r="AB39" s="262">
        <f>FV(AA$2/12,'PFR (LINKED)'!$A50*12,-'PFR (LINKED)'!$F$13,)</f>
        <v>0</v>
      </c>
      <c r="AC39" s="262">
        <f t="shared" si="6"/>
        <v>11423942.1885385</v>
      </c>
      <c r="AD39" s="261">
        <f>FV($AD$2/1,'PFR (LINKED)'!$A50*1,,-'PFR (LINKED)'!$F$12,)</f>
        <v>11423942.1885385</v>
      </c>
      <c r="AE39" s="262">
        <f>FV(AD$2/12,'PFR (LINKED)'!$A50*12,-'PFR (LINKED)'!$F$13,)</f>
        <v>0</v>
      </c>
      <c r="AF39" s="262">
        <f t="shared" si="7"/>
        <v>11423942.1885385</v>
      </c>
    </row>
    <row r="40" spans="8:32">
      <c r="H40" s="251">
        <v>37</v>
      </c>
      <c r="I40" s="261">
        <f>FV($I$2/1,'PFR (LINKED)'!$A51*1,,-'PFR (LINKED)'!$F$12,)</f>
        <v>4268089.85613964</v>
      </c>
      <c r="J40" s="262">
        <f>FV(I$2/12,'PFR (LINKED)'!$A51*12,-'PFR (LINKED)'!$F$13,)</f>
        <v>0</v>
      </c>
      <c r="K40" s="262">
        <f t="shared" si="8"/>
        <v>4268089.85613964</v>
      </c>
      <c r="L40" s="261">
        <f>FV($L$2/1,'PFR (LINKED)'!$A51*1,,-'PFR (LINKED)'!$F$12,)</f>
        <v>6081406.94277046</v>
      </c>
      <c r="M40" s="262">
        <f>FV(L$2/12,'PFR (LINKED)'!$A51*12,-'PFR (LINKED)'!$F$13,)</f>
        <v>0</v>
      </c>
      <c r="N40" s="262">
        <f t="shared" si="9"/>
        <v>6081406.94277046</v>
      </c>
      <c r="O40" s="261">
        <f>FV($O$2/1,'PFR (LINKED)'!$A51*1,,-'PFR (LINKED)'!$F$12,)</f>
        <v>12223618.1417362</v>
      </c>
      <c r="P40" s="262">
        <f>FV(O$2/12,'PFR (LINKED)'!$A51*12,-'PFR (LINKED)'!$F$13,)</f>
        <v>0</v>
      </c>
      <c r="Q40" s="262">
        <f t="shared" si="10"/>
        <v>12223618.1417362</v>
      </c>
      <c r="R40" s="261">
        <f>FV($R$2/1,'PFR (LINKED)'!$A51*1,,-'PFR (LINKED)'!$F$12,)</f>
        <v>17245625.5848955</v>
      </c>
      <c r="S40" s="262">
        <f>FV(R$2/12,'PFR (LINKED)'!$A51*12,-'PFR (LINKED)'!$F$13,)</f>
        <v>0</v>
      </c>
      <c r="T40" s="262">
        <f t="shared" si="11"/>
        <v>17245625.5848955</v>
      </c>
      <c r="U40" s="261">
        <f>FV($U$2/1,'PFR (LINKED)'!$A51*1,,-'PFR (LINKED)'!$F$12,)</f>
        <v>24253835.2839893</v>
      </c>
      <c r="V40" s="262">
        <f>FV(U$2/12,'PFR (LINKED)'!$A51*12,-'PFR (LINKED)'!$F$13,)</f>
        <v>0</v>
      </c>
      <c r="W40" s="262">
        <f t="shared" si="12"/>
        <v>24253835.2839893</v>
      </c>
      <c r="X40" s="261">
        <f>FV($X$2/1,'PFR (LINKED)'!$A51*1,,-'PFR (LINKED)'!$F$12,)</f>
        <v>34003948.5861578</v>
      </c>
      <c r="Y40" s="262">
        <f>FV(X$2/12,'PFR (LINKED)'!$A51*12,-'PFR (LINKED)'!$F$13,)</f>
        <v>0</v>
      </c>
      <c r="Z40" s="262">
        <f t="shared" si="13"/>
        <v>34003948.5861578</v>
      </c>
      <c r="AA40" s="261">
        <f>FV($AA$2/1,'PFR (LINKED)'!$A51*1,,-'PFR (LINKED)'!$F$12,)</f>
        <v>12223618.1417362</v>
      </c>
      <c r="AB40" s="262">
        <f>FV(AA$2/12,'PFR (LINKED)'!$A51*12,-'PFR (LINKED)'!$F$13,)</f>
        <v>0</v>
      </c>
      <c r="AC40" s="262">
        <f t="shared" si="6"/>
        <v>12223618.1417362</v>
      </c>
      <c r="AD40" s="261">
        <f>FV($AD$2/1,'PFR (LINKED)'!$A51*1,,-'PFR (LINKED)'!$F$12,)</f>
        <v>12223618.1417362</v>
      </c>
      <c r="AE40" s="262">
        <f>FV(AD$2/12,'PFR (LINKED)'!$A51*12,-'PFR (LINKED)'!$F$13,)</f>
        <v>0</v>
      </c>
      <c r="AF40" s="262">
        <f t="shared" si="7"/>
        <v>12223618.1417362</v>
      </c>
    </row>
    <row r="41" spans="8:32">
      <c r="H41" s="251">
        <v>38</v>
      </c>
      <c r="I41" s="261">
        <f>FV($I$2/1,'PFR (LINKED)'!$A52*1,,-'PFR (LINKED)'!$F$12,)</f>
        <v>4438813.45038522</v>
      </c>
      <c r="J41" s="262">
        <f>FV(I$2/12,'PFR (LINKED)'!$A52*12,-'PFR (LINKED)'!$F$13,)</f>
        <v>0</v>
      </c>
      <c r="K41" s="262">
        <f t="shared" si="8"/>
        <v>4438813.45038522</v>
      </c>
      <c r="L41" s="261">
        <f>FV($L$2/1,'PFR (LINKED)'!$A52*1,,-'PFR (LINKED)'!$F$12,)</f>
        <v>6385477.28990899</v>
      </c>
      <c r="M41" s="262">
        <f>FV(L$2/12,'PFR (LINKED)'!$A52*12,-'PFR (LINKED)'!$F$13,)</f>
        <v>0</v>
      </c>
      <c r="N41" s="262">
        <f t="shared" si="9"/>
        <v>6385477.28990899</v>
      </c>
      <c r="O41" s="261">
        <f>FV($O$2/1,'PFR (LINKED)'!$A52*1,,-'PFR (LINKED)'!$F$12,)</f>
        <v>13079271.4116578</v>
      </c>
      <c r="P41" s="262">
        <f>FV(O$2/12,'PFR (LINKED)'!$A52*12,-'PFR (LINKED)'!$F$13,)</f>
        <v>0</v>
      </c>
      <c r="Q41" s="262">
        <f t="shared" si="10"/>
        <v>13079271.4116578</v>
      </c>
      <c r="R41" s="261">
        <f>FV($R$2/1,'PFR (LINKED)'!$A52*1,,-'PFR (LINKED)'!$F$12,)</f>
        <v>18625275.6316872</v>
      </c>
      <c r="S41" s="262">
        <f>FV(R$2/12,'PFR (LINKED)'!$A52*12,-'PFR (LINKED)'!$F$13,)</f>
        <v>0</v>
      </c>
      <c r="T41" s="262">
        <f t="shared" si="11"/>
        <v>18625275.6316872</v>
      </c>
      <c r="U41" s="261">
        <f>FV($U$2/1,'PFR (LINKED)'!$A52*1,,-'PFR (LINKED)'!$F$12,)</f>
        <v>26436680.4595483</v>
      </c>
      <c r="V41" s="262">
        <f>FV(U$2/12,'PFR (LINKED)'!$A52*12,-'PFR (LINKED)'!$F$13,)</f>
        <v>0</v>
      </c>
      <c r="W41" s="262">
        <f t="shared" si="12"/>
        <v>26436680.4595483</v>
      </c>
      <c r="X41" s="261">
        <f>FV($X$2/1,'PFR (LINKED)'!$A52*1,,-'PFR (LINKED)'!$F$12,)</f>
        <v>37404343.4447736</v>
      </c>
      <c r="Y41" s="262">
        <f>FV(X$2/12,'PFR (LINKED)'!$A52*12,-'PFR (LINKED)'!$F$13,)</f>
        <v>0</v>
      </c>
      <c r="Z41" s="262">
        <f t="shared" si="13"/>
        <v>37404343.4447736</v>
      </c>
      <c r="AA41" s="261">
        <f>FV($AA$2/1,'PFR (LINKED)'!$A52*1,,-'PFR (LINKED)'!$F$12,)</f>
        <v>13079271.4116578</v>
      </c>
      <c r="AB41" s="262">
        <f>FV(AA$2/12,'PFR (LINKED)'!$A52*12,-'PFR (LINKED)'!$F$13,)</f>
        <v>0</v>
      </c>
      <c r="AC41" s="262">
        <f t="shared" si="6"/>
        <v>13079271.4116578</v>
      </c>
      <c r="AD41" s="261">
        <f>FV($AD$2/1,'PFR (LINKED)'!$A52*1,,-'PFR (LINKED)'!$F$12,)</f>
        <v>13079271.4116578</v>
      </c>
      <c r="AE41" s="262">
        <f>FV(AD$2/12,'PFR (LINKED)'!$A52*12,-'PFR (LINKED)'!$F$13,)</f>
        <v>0</v>
      </c>
      <c r="AF41" s="262">
        <f t="shared" si="7"/>
        <v>13079271.4116578</v>
      </c>
    </row>
    <row r="42" spans="8:32">
      <c r="H42" s="251">
        <v>39</v>
      </c>
      <c r="I42" s="261">
        <f>FV($I$2/1,'PFR (LINKED)'!$A53*1,,-'PFR (LINKED)'!$F$12,)</f>
        <v>4616365.98840063</v>
      </c>
      <c r="J42" s="262">
        <f>FV(I$2/12,'PFR (LINKED)'!$A53*12,-'PFR (LINKED)'!$F$13,)</f>
        <v>0</v>
      </c>
      <c r="K42" s="262">
        <f t="shared" si="8"/>
        <v>4616365.98840063</v>
      </c>
      <c r="L42" s="261">
        <f>FV($L$2/1,'PFR (LINKED)'!$A53*1,,-'PFR (LINKED)'!$F$12,)</f>
        <v>6704751.15440444</v>
      </c>
      <c r="M42" s="262">
        <f>FV(L$2/12,'PFR (LINKED)'!$A53*12,-'PFR (LINKED)'!$F$13,)</f>
        <v>0</v>
      </c>
      <c r="N42" s="262">
        <f t="shared" si="9"/>
        <v>6704751.15440444</v>
      </c>
      <c r="O42" s="261">
        <f>FV($O$2/1,'PFR (LINKED)'!$A53*1,,-'PFR (LINKED)'!$F$12,)</f>
        <v>13994820.4104738</v>
      </c>
      <c r="P42" s="262">
        <f>FV(O$2/12,'PFR (LINKED)'!$A53*12,-'PFR (LINKED)'!$F$13,)</f>
        <v>0</v>
      </c>
      <c r="Q42" s="262">
        <f t="shared" si="10"/>
        <v>13994820.4104738</v>
      </c>
      <c r="R42" s="261">
        <f>FV($R$2/1,'PFR (LINKED)'!$A53*1,,-'PFR (LINKED)'!$F$12,)</f>
        <v>20115297.6822221</v>
      </c>
      <c r="S42" s="262">
        <f>FV(R$2/12,'PFR (LINKED)'!$A53*12,-'PFR (LINKED)'!$F$13,)</f>
        <v>0</v>
      </c>
      <c r="T42" s="262">
        <f t="shared" si="11"/>
        <v>20115297.6822221</v>
      </c>
      <c r="U42" s="261">
        <f>FV($U$2/1,'PFR (LINKED)'!$A53*1,,-'PFR (LINKED)'!$F$12,)</f>
        <v>28815981.7009077</v>
      </c>
      <c r="V42" s="262">
        <f>FV(U$2/12,'PFR (LINKED)'!$A53*12,-'PFR (LINKED)'!$F$13,)</f>
        <v>0</v>
      </c>
      <c r="W42" s="262">
        <f t="shared" si="12"/>
        <v>28815981.7009077</v>
      </c>
      <c r="X42" s="261">
        <f>FV($X$2/1,'PFR (LINKED)'!$A53*1,,-'PFR (LINKED)'!$F$12,)</f>
        <v>41144777.789251</v>
      </c>
      <c r="Y42" s="262">
        <f>FV(X$2/12,'PFR (LINKED)'!$A53*12,-'PFR (LINKED)'!$F$13,)</f>
        <v>0</v>
      </c>
      <c r="Z42" s="262">
        <f t="shared" si="13"/>
        <v>41144777.789251</v>
      </c>
      <c r="AA42" s="261">
        <f>FV($AA$2/1,'PFR (LINKED)'!$A53*1,,-'PFR (LINKED)'!$F$12,)</f>
        <v>13994820.4104738</v>
      </c>
      <c r="AB42" s="262">
        <f>FV(AA$2/12,'PFR (LINKED)'!$A53*12,-'PFR (LINKED)'!$F$13,)</f>
        <v>0</v>
      </c>
      <c r="AC42" s="262">
        <f t="shared" si="6"/>
        <v>13994820.4104738</v>
      </c>
      <c r="AD42" s="261">
        <f>FV($AD$2/1,'PFR (LINKED)'!$A53*1,,-'PFR (LINKED)'!$F$12,)</f>
        <v>13994820.4104738</v>
      </c>
      <c r="AE42" s="262">
        <f>FV(AD$2/12,'PFR (LINKED)'!$A53*12,-'PFR (LINKED)'!$F$13,)</f>
        <v>0</v>
      </c>
      <c r="AF42" s="262">
        <f t="shared" si="7"/>
        <v>13994820.4104738</v>
      </c>
    </row>
    <row r="43" spans="8:32">
      <c r="H43" s="251">
        <v>40</v>
      </c>
      <c r="I43" s="261">
        <f>FV($I$2/1,'PFR (LINKED)'!$A54*1,,-'PFR (LINKED)'!$F$12,)</f>
        <v>4801020.62793666</v>
      </c>
      <c r="J43" s="262">
        <f>FV(I$2/12,'PFR (LINKED)'!$A54*12,-'PFR (LINKED)'!$F$13,)</f>
        <v>0</v>
      </c>
      <c r="K43" s="262">
        <f t="shared" si="8"/>
        <v>4801020.62793666</v>
      </c>
      <c r="L43" s="261">
        <f>FV($L$2/1,'PFR (LINKED)'!$A54*1,,-'PFR (LINKED)'!$F$12,)</f>
        <v>7039988.71212466</v>
      </c>
      <c r="M43" s="262">
        <f>FV(L$2/12,'PFR (LINKED)'!$A54*12,-'PFR (LINKED)'!$F$13,)</f>
        <v>0</v>
      </c>
      <c r="N43" s="262">
        <f t="shared" si="9"/>
        <v>7039988.71212466</v>
      </c>
      <c r="O43" s="261">
        <f>FV($O$2/1,'PFR (LINKED)'!$A54*1,,-'PFR (LINKED)'!$F$12,)</f>
        <v>14974457.839207</v>
      </c>
      <c r="P43" s="262">
        <f>FV(O$2/12,'PFR (LINKED)'!$A54*12,-'PFR (LINKED)'!$F$13,)</f>
        <v>0</v>
      </c>
      <c r="Q43" s="262">
        <f t="shared" si="10"/>
        <v>14974457.839207</v>
      </c>
      <c r="R43" s="261">
        <f>FV($R$2/1,'PFR (LINKED)'!$A54*1,,-'PFR (LINKED)'!$F$12,)</f>
        <v>21724521.4967999</v>
      </c>
      <c r="S43" s="262">
        <f>FV(R$2/12,'PFR (LINKED)'!$A54*12,-'PFR (LINKED)'!$F$13,)</f>
        <v>0</v>
      </c>
      <c r="T43" s="262">
        <f t="shared" si="11"/>
        <v>21724521.4967999</v>
      </c>
      <c r="U43" s="261">
        <f>FV($U$2/1,'PFR (LINKED)'!$A54*1,,-'PFR (LINKED)'!$F$12,)</f>
        <v>31409420.0539894</v>
      </c>
      <c r="V43" s="262">
        <f>FV(U$2/12,'PFR (LINKED)'!$A54*12,-'PFR (LINKED)'!$F$13,)</f>
        <v>0</v>
      </c>
      <c r="W43" s="262">
        <f t="shared" si="12"/>
        <v>31409420.0539894</v>
      </c>
      <c r="X43" s="261">
        <f>FV($X$2/1,'PFR (LINKED)'!$A54*1,,-'PFR (LINKED)'!$F$12,)</f>
        <v>45259255.5681761</v>
      </c>
      <c r="Y43" s="262">
        <f>FV(X$2/12,'PFR (LINKED)'!$A54*12,-'PFR (LINKED)'!$F$13,)</f>
        <v>0</v>
      </c>
      <c r="Z43" s="262">
        <f t="shared" si="13"/>
        <v>45259255.5681761</v>
      </c>
      <c r="AA43" s="261">
        <f>FV($AA$2/1,'PFR (LINKED)'!$A54*1,,-'PFR (LINKED)'!$F$12,)</f>
        <v>14974457.839207</v>
      </c>
      <c r="AB43" s="262">
        <f>FV(AA$2/12,'PFR (LINKED)'!$A54*12,-'PFR (LINKED)'!$F$13,)</f>
        <v>0</v>
      </c>
      <c r="AC43" s="262">
        <f t="shared" si="6"/>
        <v>14974457.839207</v>
      </c>
      <c r="AD43" s="261">
        <f>FV($AD$2/1,'PFR (LINKED)'!$A54*1,,-'PFR (LINKED)'!$F$12,)</f>
        <v>14974457.839207</v>
      </c>
      <c r="AE43" s="262">
        <f>FV(AD$2/12,'PFR (LINKED)'!$A54*12,-'PFR (LINKED)'!$F$13,)</f>
        <v>0</v>
      </c>
      <c r="AF43" s="262">
        <f t="shared" si="7"/>
        <v>14974457.839207</v>
      </c>
    </row>
    <row r="44" spans="8:32">
      <c r="H44" s="251">
        <v>41</v>
      </c>
      <c r="I44" s="261">
        <f>FV($I$2/1,'PFR (LINKED)'!$A55*1,,-'PFR (LINKED)'!$F$12,)</f>
        <v>4993061.45305412</v>
      </c>
      <c r="J44" s="262">
        <f>FV(I$2/12,'PFR (LINKED)'!$A55*12,-'PFR (LINKED)'!$F$13,)</f>
        <v>0</v>
      </c>
      <c r="K44" s="262">
        <f t="shared" si="8"/>
        <v>4993061.45305412</v>
      </c>
      <c r="L44" s="261">
        <f>FV($L$2/1,'PFR (LINKED)'!$A55*1,,-'PFR (LINKED)'!$F$12,)</f>
        <v>7391988.14773089</v>
      </c>
      <c r="M44" s="262">
        <f>FV(L$2/12,'PFR (LINKED)'!$A55*12,-'PFR (LINKED)'!$F$13,)</f>
        <v>0</v>
      </c>
      <c r="N44" s="262">
        <f t="shared" si="9"/>
        <v>7391988.14773089</v>
      </c>
      <c r="O44" s="261">
        <f>FV($O$2/1,'PFR (LINKED)'!$A55*1,,-'PFR (LINKED)'!$F$12,)</f>
        <v>16022669.8879515</v>
      </c>
      <c r="P44" s="262">
        <f>FV(O$2/12,'PFR (LINKED)'!$A55*12,-'PFR (LINKED)'!$F$13,)</f>
        <v>0</v>
      </c>
      <c r="Q44" s="262">
        <f t="shared" si="10"/>
        <v>16022669.8879515</v>
      </c>
      <c r="R44" s="261">
        <f>FV($R$2/1,'PFR (LINKED)'!$A55*1,,-'PFR (LINKED)'!$F$12,)</f>
        <v>23462483.2165439</v>
      </c>
      <c r="S44" s="262">
        <f>FV(R$2/12,'PFR (LINKED)'!$A55*12,-'PFR (LINKED)'!$F$13,)</f>
        <v>0</v>
      </c>
      <c r="T44" s="262">
        <f t="shared" si="11"/>
        <v>23462483.2165439</v>
      </c>
      <c r="U44" s="261">
        <f>FV($U$2/1,'PFR (LINKED)'!$A55*1,,-'PFR (LINKED)'!$F$12,)</f>
        <v>34236267.8588484</v>
      </c>
      <c r="V44" s="262">
        <f>FV(U$2/12,'PFR (LINKED)'!$A55*12,-'PFR (LINKED)'!$F$13,)</f>
        <v>0</v>
      </c>
      <c r="W44" s="262">
        <f t="shared" si="12"/>
        <v>34236267.8588484</v>
      </c>
      <c r="X44" s="261">
        <f>FV($X$2/1,'PFR (LINKED)'!$A55*1,,-'PFR (LINKED)'!$F$12,)</f>
        <v>49785181.1249937</v>
      </c>
      <c r="Y44" s="262">
        <f>FV(X$2/12,'PFR (LINKED)'!$A55*12,-'PFR (LINKED)'!$F$13,)</f>
        <v>0</v>
      </c>
      <c r="Z44" s="262">
        <f t="shared" si="13"/>
        <v>49785181.1249937</v>
      </c>
      <c r="AA44" s="261">
        <f>FV($AA$2/1,'PFR (LINKED)'!$A55*1,,-'PFR (LINKED)'!$F$12,)</f>
        <v>16022669.8879515</v>
      </c>
      <c r="AB44" s="262">
        <f>FV(AA$2/12,'PFR (LINKED)'!$A55*12,-'PFR (LINKED)'!$F$13,)</f>
        <v>0</v>
      </c>
      <c r="AC44" s="262">
        <f t="shared" si="6"/>
        <v>16022669.8879515</v>
      </c>
      <c r="AD44" s="261">
        <f>FV($AD$2/1,'PFR (LINKED)'!$A55*1,,-'PFR (LINKED)'!$F$12,)</f>
        <v>16022669.8879515</v>
      </c>
      <c r="AE44" s="262">
        <f>FV(AD$2/12,'PFR (LINKED)'!$A55*12,-'PFR (LINKED)'!$F$13,)</f>
        <v>0</v>
      </c>
      <c r="AF44" s="262">
        <f t="shared" si="7"/>
        <v>16022669.8879515</v>
      </c>
    </row>
    <row r="45" spans="8:32">
      <c r="H45" s="251">
        <v>42</v>
      </c>
      <c r="I45" s="261">
        <f>FV($I$2/1,'PFR (LINKED)'!$A56*1,,-'PFR (LINKED)'!$F$12,)</f>
        <v>5192783.91117629</v>
      </c>
      <c r="J45" s="262">
        <f>FV(I$2/12,'PFR (LINKED)'!$A56*12,-'PFR (LINKED)'!$F$13,)</f>
        <v>0</v>
      </c>
      <c r="K45" s="262">
        <f t="shared" si="8"/>
        <v>5192783.91117629</v>
      </c>
      <c r="L45" s="261">
        <f>FV($L$2/1,'PFR (LINKED)'!$A56*1,,-'PFR (LINKED)'!$F$12,)</f>
        <v>7761587.55511744</v>
      </c>
      <c r="M45" s="262">
        <f>FV(L$2/12,'PFR (LINKED)'!$A56*12,-'PFR (LINKED)'!$F$13,)</f>
        <v>0</v>
      </c>
      <c r="N45" s="262">
        <f t="shared" si="9"/>
        <v>7761587.55511744</v>
      </c>
      <c r="O45" s="261">
        <f>FV($O$2/1,'PFR (LINKED)'!$A56*1,,-'PFR (LINKED)'!$F$12,)</f>
        <v>17144256.7801081</v>
      </c>
      <c r="P45" s="262">
        <f>FV(O$2/12,'PFR (LINKED)'!$A56*12,-'PFR (LINKED)'!$F$13,)</f>
        <v>0</v>
      </c>
      <c r="Q45" s="262">
        <f t="shared" si="10"/>
        <v>17144256.7801081</v>
      </c>
      <c r="R45" s="261">
        <f>FV($R$2/1,'PFR (LINKED)'!$A56*1,,-'PFR (LINKED)'!$F$12,)</f>
        <v>25339481.8738674</v>
      </c>
      <c r="S45" s="262">
        <f>FV(R$2/12,'PFR (LINKED)'!$A56*12,-'PFR (LINKED)'!$F$13,)</f>
        <v>0</v>
      </c>
      <c r="T45" s="262">
        <f t="shared" si="11"/>
        <v>25339481.8738674</v>
      </c>
      <c r="U45" s="261">
        <f>FV($U$2/1,'PFR (LINKED)'!$A56*1,,-'PFR (LINKED)'!$F$12,)</f>
        <v>37317531.9661448</v>
      </c>
      <c r="V45" s="262">
        <f>FV(U$2/12,'PFR (LINKED)'!$A56*12,-'PFR (LINKED)'!$F$13,)</f>
        <v>0</v>
      </c>
      <c r="W45" s="262">
        <f t="shared" si="12"/>
        <v>37317531.9661448</v>
      </c>
      <c r="X45" s="261">
        <f>FV($X$2/1,'PFR (LINKED)'!$A56*1,,-'PFR (LINKED)'!$F$12,)</f>
        <v>54763699.2374931</v>
      </c>
      <c r="Y45" s="262">
        <f>FV(X$2/12,'PFR (LINKED)'!$A56*12,-'PFR (LINKED)'!$F$13,)</f>
        <v>0</v>
      </c>
      <c r="Z45" s="262">
        <f t="shared" si="13"/>
        <v>54763699.2374931</v>
      </c>
      <c r="AA45" s="261">
        <f>FV($AA$2/1,'PFR (LINKED)'!$A56*1,,-'PFR (LINKED)'!$F$12,)</f>
        <v>17144256.7801081</v>
      </c>
      <c r="AB45" s="262">
        <f>FV(AA$2/12,'PFR (LINKED)'!$A56*12,-'PFR (LINKED)'!$F$13,)</f>
        <v>0</v>
      </c>
      <c r="AC45" s="262">
        <f t="shared" si="6"/>
        <v>17144256.7801081</v>
      </c>
      <c r="AD45" s="261">
        <f>FV($AD$2/1,'PFR (LINKED)'!$A56*1,,-'PFR (LINKED)'!$F$12,)</f>
        <v>17144256.7801081</v>
      </c>
      <c r="AE45" s="262">
        <f>FV(AD$2/12,'PFR (LINKED)'!$A56*12,-'PFR (LINKED)'!$F$13,)</f>
        <v>0</v>
      </c>
      <c r="AF45" s="262">
        <f t="shared" si="7"/>
        <v>17144256.7801081</v>
      </c>
    </row>
    <row r="46" spans="8:32">
      <c r="H46" s="251">
        <v>43</v>
      </c>
      <c r="I46" s="261">
        <f>FV($I$2/1,'PFR (LINKED)'!$A57*1,,-'PFR (LINKED)'!$F$12,)</f>
        <v>5400495.26762334</v>
      </c>
      <c r="J46" s="262">
        <f>FV(I$2/12,'PFR (LINKED)'!$A57*12,-'PFR (LINKED)'!$F$13,)</f>
        <v>0</v>
      </c>
      <c r="K46" s="262">
        <f t="shared" si="8"/>
        <v>5400495.26762334</v>
      </c>
      <c r="L46" s="261">
        <f>FV($L$2/1,'PFR (LINKED)'!$A57*1,,-'PFR (LINKED)'!$F$12,)</f>
        <v>8149666.93287331</v>
      </c>
      <c r="M46" s="262">
        <f>FV(L$2/12,'PFR (LINKED)'!$A57*12,-'PFR (LINKED)'!$F$13,)</f>
        <v>0</v>
      </c>
      <c r="N46" s="262">
        <f t="shared" si="9"/>
        <v>8149666.93287331</v>
      </c>
      <c r="O46" s="261">
        <f>FV($O$2/1,'PFR (LINKED)'!$A57*1,,-'PFR (LINKED)'!$F$12,)</f>
        <v>18344354.7547156</v>
      </c>
      <c r="P46" s="262">
        <f>FV(O$2/12,'PFR (LINKED)'!$A57*12,-'PFR (LINKED)'!$F$13,)</f>
        <v>0</v>
      </c>
      <c r="Q46" s="262">
        <f t="shared" si="10"/>
        <v>18344354.7547156</v>
      </c>
      <c r="R46" s="261">
        <f>FV($R$2/1,'PFR (LINKED)'!$A57*1,,-'PFR (LINKED)'!$F$12,)</f>
        <v>27366640.4237768</v>
      </c>
      <c r="S46" s="262">
        <f>FV(R$2/12,'PFR (LINKED)'!$A57*12,-'PFR (LINKED)'!$F$13,)</f>
        <v>0</v>
      </c>
      <c r="T46" s="262">
        <f t="shared" si="11"/>
        <v>27366640.4237768</v>
      </c>
      <c r="U46" s="261">
        <f>FV($U$2/1,'PFR (LINKED)'!$A57*1,,-'PFR (LINKED)'!$F$12,)</f>
        <v>40676109.8430978</v>
      </c>
      <c r="V46" s="262">
        <f>FV(U$2/12,'PFR (LINKED)'!$A57*12,-'PFR (LINKED)'!$F$13,)</f>
        <v>0</v>
      </c>
      <c r="W46" s="262">
        <f t="shared" si="12"/>
        <v>40676109.8430978</v>
      </c>
      <c r="X46" s="261">
        <f>FV($X$2/1,'PFR (LINKED)'!$A57*1,,-'PFR (LINKED)'!$F$12,)</f>
        <v>60240069.1612424</v>
      </c>
      <c r="Y46" s="262">
        <f>FV(X$2/12,'PFR (LINKED)'!$A57*12,-'PFR (LINKED)'!$F$13,)</f>
        <v>0</v>
      </c>
      <c r="Z46" s="262">
        <f t="shared" si="13"/>
        <v>60240069.1612424</v>
      </c>
      <c r="AA46" s="261">
        <f>FV($AA$2/1,'PFR (LINKED)'!$A57*1,,-'PFR (LINKED)'!$F$12,)</f>
        <v>18344354.7547156</v>
      </c>
      <c r="AB46" s="262">
        <f>FV(AA$2/12,'PFR (LINKED)'!$A57*12,-'PFR (LINKED)'!$F$13,)</f>
        <v>0</v>
      </c>
      <c r="AC46" s="262">
        <f t="shared" si="6"/>
        <v>18344354.7547156</v>
      </c>
      <c r="AD46" s="261">
        <f>FV($AD$2/1,'PFR (LINKED)'!$A57*1,,-'PFR (LINKED)'!$F$12,)</f>
        <v>18344354.7547156</v>
      </c>
      <c r="AE46" s="262">
        <f>FV(AD$2/12,'PFR (LINKED)'!$A57*12,-'PFR (LINKED)'!$F$13,)</f>
        <v>0</v>
      </c>
      <c r="AF46" s="262">
        <f t="shared" si="7"/>
        <v>18344354.7547156</v>
      </c>
    </row>
    <row r="47" spans="8:32">
      <c r="H47" s="251">
        <v>44</v>
      </c>
      <c r="I47" s="261">
        <f>FV($I$2/1,'PFR (LINKED)'!$A58*1,,-'PFR (LINKED)'!$F$12,)</f>
        <v>5616515.07832827</v>
      </c>
      <c r="J47" s="262">
        <f>FV(I$2/12,'PFR (LINKED)'!$A58*12,-'PFR (LINKED)'!$F$13,)</f>
        <v>0</v>
      </c>
      <c r="K47" s="262">
        <f t="shared" si="8"/>
        <v>5616515.07832827</v>
      </c>
      <c r="L47" s="261">
        <f>FV($L$2/1,'PFR (LINKED)'!$A58*1,,-'PFR (LINKED)'!$F$12,)</f>
        <v>8557150.27951697</v>
      </c>
      <c r="M47" s="262">
        <f>FV(L$2/12,'PFR (LINKED)'!$A58*12,-'PFR (LINKED)'!$F$13,)</f>
        <v>0</v>
      </c>
      <c r="N47" s="262">
        <f t="shared" si="9"/>
        <v>8557150.27951697</v>
      </c>
      <c r="O47" s="261">
        <f>FV($O$2/1,'PFR (LINKED)'!$A58*1,,-'PFR (LINKED)'!$F$12,)</f>
        <v>19628459.5875457</v>
      </c>
      <c r="P47" s="262">
        <f>FV(O$2/12,'PFR (LINKED)'!$A58*12,-'PFR (LINKED)'!$F$13,)</f>
        <v>0</v>
      </c>
      <c r="Q47" s="262">
        <f t="shared" si="10"/>
        <v>19628459.5875457</v>
      </c>
      <c r="R47" s="261">
        <f>FV($R$2/1,'PFR (LINKED)'!$A58*1,,-'PFR (LINKED)'!$F$12,)</f>
        <v>29555971.657679</v>
      </c>
      <c r="S47" s="262">
        <f>FV(R$2/12,'PFR (LINKED)'!$A58*12,-'PFR (LINKED)'!$F$13,)</f>
        <v>0</v>
      </c>
      <c r="T47" s="262">
        <f t="shared" si="11"/>
        <v>29555971.657679</v>
      </c>
      <c r="U47" s="261">
        <f>FV($U$2/1,'PFR (LINKED)'!$A58*1,,-'PFR (LINKED)'!$F$12,)</f>
        <v>44336959.7289766</v>
      </c>
      <c r="V47" s="262">
        <f>FV(U$2/12,'PFR (LINKED)'!$A58*12,-'PFR (LINKED)'!$F$13,)</f>
        <v>0</v>
      </c>
      <c r="W47" s="262">
        <f t="shared" si="12"/>
        <v>44336959.7289766</v>
      </c>
      <c r="X47" s="261">
        <f>FV($X$2/1,'PFR (LINKED)'!$A58*1,,-'PFR (LINKED)'!$F$12,)</f>
        <v>66264076.0773667</v>
      </c>
      <c r="Y47" s="262">
        <f>FV(X$2/12,'PFR (LINKED)'!$A58*12,-'PFR (LINKED)'!$F$13,)</f>
        <v>0</v>
      </c>
      <c r="Z47" s="262">
        <f t="shared" si="13"/>
        <v>66264076.0773667</v>
      </c>
      <c r="AA47" s="261">
        <f>FV($AA$2/1,'PFR (LINKED)'!$A58*1,,-'PFR (LINKED)'!$F$12,)</f>
        <v>19628459.5875457</v>
      </c>
      <c r="AB47" s="262">
        <f>FV(AA$2/12,'PFR (LINKED)'!$A58*12,-'PFR (LINKED)'!$F$13,)</f>
        <v>0</v>
      </c>
      <c r="AC47" s="262">
        <f t="shared" si="6"/>
        <v>19628459.5875457</v>
      </c>
      <c r="AD47" s="261">
        <f>FV($AD$2/1,'PFR (LINKED)'!$A58*1,,-'PFR (LINKED)'!$F$12,)</f>
        <v>19628459.5875457</v>
      </c>
      <c r="AE47" s="262">
        <f>FV(AD$2/12,'PFR (LINKED)'!$A58*12,-'PFR (LINKED)'!$F$13,)</f>
        <v>0</v>
      </c>
      <c r="AF47" s="262">
        <f t="shared" si="7"/>
        <v>19628459.5875457</v>
      </c>
    </row>
    <row r="48" spans="8:32">
      <c r="H48" s="251">
        <v>45</v>
      </c>
      <c r="I48" s="261">
        <f>FV($I$2/1,'PFR (LINKED)'!$A59*1,,-'PFR (LINKED)'!$F$12,)</f>
        <v>5841175.68146141</v>
      </c>
      <c r="J48" s="262">
        <f>FV(I$2/12,'PFR (LINKED)'!$A59*12,-'PFR (LINKED)'!$F$13,)</f>
        <v>0</v>
      </c>
      <c r="K48" s="262">
        <f t="shared" si="8"/>
        <v>5841175.68146141</v>
      </c>
      <c r="L48" s="261">
        <f>FV($L$2/1,'PFR (LINKED)'!$A59*1,,-'PFR (LINKED)'!$F$12,)</f>
        <v>8985007.79349282</v>
      </c>
      <c r="M48" s="262">
        <f>FV(L$2/12,'PFR (LINKED)'!$A59*12,-'PFR (LINKED)'!$F$13,)</f>
        <v>0</v>
      </c>
      <c r="N48" s="262">
        <f t="shared" si="9"/>
        <v>8985007.79349282</v>
      </c>
      <c r="O48" s="261">
        <f>FV($O$2/1,'PFR (LINKED)'!$A59*1,,-'PFR (LINKED)'!$F$12,)</f>
        <v>21002451.7586739</v>
      </c>
      <c r="P48" s="262">
        <f>FV(O$2/12,'PFR (LINKED)'!$A59*12,-'PFR (LINKED)'!$F$13,)</f>
        <v>0</v>
      </c>
      <c r="Q48" s="262">
        <f t="shared" si="10"/>
        <v>21002451.7586739</v>
      </c>
      <c r="R48" s="261">
        <f>FV($R$2/1,'PFR (LINKED)'!$A59*1,,-'PFR (LINKED)'!$F$12,)</f>
        <v>31920449.3902933</v>
      </c>
      <c r="S48" s="262">
        <f>FV(R$2/12,'PFR (LINKED)'!$A59*12,-'PFR (LINKED)'!$F$13,)</f>
        <v>0</v>
      </c>
      <c r="T48" s="262">
        <f t="shared" si="11"/>
        <v>31920449.3902933</v>
      </c>
      <c r="U48" s="261">
        <f>FV($U$2/1,'PFR (LINKED)'!$A59*1,,-'PFR (LINKED)'!$F$12,)</f>
        <v>48327286.1045845</v>
      </c>
      <c r="V48" s="262">
        <f>FV(U$2/12,'PFR (LINKED)'!$A59*12,-'PFR (LINKED)'!$F$13,)</f>
        <v>0</v>
      </c>
      <c r="W48" s="262">
        <f t="shared" si="12"/>
        <v>48327286.1045845</v>
      </c>
      <c r="X48" s="261">
        <f>FV($X$2/1,'PFR (LINKED)'!$A59*1,,-'PFR (LINKED)'!$F$12,)</f>
        <v>72890483.6851033</v>
      </c>
      <c r="Y48" s="262">
        <f>FV(X$2/12,'PFR (LINKED)'!$A59*12,-'PFR (LINKED)'!$F$13,)</f>
        <v>0</v>
      </c>
      <c r="Z48" s="262">
        <f t="shared" si="13"/>
        <v>72890483.6851033</v>
      </c>
      <c r="AA48" s="261">
        <f>FV($AA$2/1,'PFR (LINKED)'!$A59*1,,-'PFR (LINKED)'!$F$12,)</f>
        <v>21002451.7586739</v>
      </c>
      <c r="AB48" s="262">
        <f>FV(AA$2/12,'PFR (LINKED)'!$A59*12,-'PFR (LINKED)'!$F$13,)</f>
        <v>0</v>
      </c>
      <c r="AC48" s="262">
        <f t="shared" si="6"/>
        <v>21002451.7586739</v>
      </c>
      <c r="AD48" s="261">
        <f>FV($AD$2/1,'PFR (LINKED)'!$A59*1,,-'PFR (LINKED)'!$F$12,)</f>
        <v>21002451.7586739</v>
      </c>
      <c r="AE48" s="262">
        <f>FV(AD$2/12,'PFR (LINKED)'!$A59*12,-'PFR (LINKED)'!$F$13,)</f>
        <v>0</v>
      </c>
      <c r="AF48" s="262">
        <f t="shared" si="7"/>
        <v>21002451.7586739</v>
      </c>
    </row>
    <row r="49" spans="8:32">
      <c r="H49" s="251">
        <v>46</v>
      </c>
      <c r="I49" s="261">
        <f>FV($I$2/1,'PFR (LINKED)'!$A60*1,,-'PFR (LINKED)'!$F$12,)</f>
        <v>6074822.70871986</v>
      </c>
      <c r="J49" s="262">
        <f>FV(I$2/12,'PFR (LINKED)'!$A60*12,-'PFR (LINKED)'!$F$13,)</f>
        <v>0</v>
      </c>
      <c r="K49" s="262">
        <f t="shared" ref="K49:K59" si="14">I49+J49</f>
        <v>6074822.70871986</v>
      </c>
      <c r="L49" s="261">
        <f>FV($L$2/1,'PFR (LINKED)'!$A60*1,,-'PFR (LINKED)'!$F$12,)</f>
        <v>9434258.18316747</v>
      </c>
      <c r="M49" s="262">
        <f>FV(L$2/12,'PFR (LINKED)'!$A60*12,-'PFR (LINKED)'!$F$13,)</f>
        <v>0</v>
      </c>
      <c r="N49" s="262">
        <f t="shared" ref="N49:N59" si="15">L49+M49</f>
        <v>9434258.18316747</v>
      </c>
      <c r="O49" s="261">
        <f>FV($O$2/1,'PFR (LINKED)'!$A60*1,,-'PFR (LINKED)'!$F$12,)</f>
        <v>22472623.3817811</v>
      </c>
      <c r="P49" s="262">
        <f>FV(O$2/12,'PFR (LINKED)'!$A60*12,-'PFR (LINKED)'!$F$13,)</f>
        <v>0</v>
      </c>
      <c r="Q49" s="262">
        <f t="shared" ref="Q49:Q59" si="16">O49+P49</f>
        <v>22472623.3817811</v>
      </c>
      <c r="R49" s="261">
        <f>FV($R$2/1,'PFR (LINKED)'!$A60*1,,-'PFR (LINKED)'!$F$12,)</f>
        <v>34474085.3415167</v>
      </c>
      <c r="S49" s="262">
        <f>FV(R$2/12,'PFR (LINKED)'!$A60*12,-'PFR (LINKED)'!$F$13,)</f>
        <v>0</v>
      </c>
      <c r="T49" s="262">
        <f t="shared" ref="T49:T59" si="17">R49+S49</f>
        <v>34474085.3415167</v>
      </c>
      <c r="U49" s="261">
        <f>FV($U$2/1,'PFR (LINKED)'!$A60*1,,-'PFR (LINKED)'!$F$12,)</f>
        <v>52676741.8539971</v>
      </c>
      <c r="V49" s="262">
        <f>FV(U$2/12,'PFR (LINKED)'!$A60*12,-'PFR (LINKED)'!$F$13,)</f>
        <v>0</v>
      </c>
      <c r="W49" s="262">
        <f t="shared" ref="W49:W59" si="18">U49+V49</f>
        <v>52676741.8539971</v>
      </c>
      <c r="X49" s="261">
        <f>FV($X$2/1,'PFR (LINKED)'!$A60*1,,-'PFR (LINKED)'!$F$12,)</f>
        <v>80179532.0536137</v>
      </c>
      <c r="Y49" s="262">
        <f>FV(X$2/12,'PFR (LINKED)'!$A60*12,-'PFR (LINKED)'!$F$13,)</f>
        <v>0</v>
      </c>
      <c r="Z49" s="262">
        <f t="shared" ref="Z49:Z59" si="19">X49+Y49</f>
        <v>80179532.0536137</v>
      </c>
      <c r="AA49" s="261">
        <f>FV($AA$2/1,'PFR (LINKED)'!$A60*1,,-'PFR (LINKED)'!$F$12,)</f>
        <v>22472623.3817811</v>
      </c>
      <c r="AB49" s="262">
        <f>FV(AA$2/12,'PFR (LINKED)'!$A60*12,-'PFR (LINKED)'!$F$13,)</f>
        <v>0</v>
      </c>
      <c r="AC49" s="262">
        <f t="shared" ref="AC49:AC59" si="20">AA49+AB49</f>
        <v>22472623.3817811</v>
      </c>
      <c r="AD49" s="261">
        <f>FV($AD$2/1,'PFR (LINKED)'!$A60*1,,-'PFR (LINKED)'!$F$12,)</f>
        <v>22472623.3817811</v>
      </c>
      <c r="AE49" s="262">
        <f>FV(AD$2/12,'PFR (LINKED)'!$A60*12,-'PFR (LINKED)'!$F$13,)</f>
        <v>0</v>
      </c>
      <c r="AF49" s="262">
        <f t="shared" ref="AF49:AF59" si="21">AD49+AE49</f>
        <v>22472623.3817811</v>
      </c>
    </row>
    <row r="50" spans="8:32">
      <c r="H50" s="251">
        <v>47</v>
      </c>
      <c r="I50" s="261">
        <f>FV($I$2/1,'PFR (LINKED)'!$A61*1,,-'PFR (LINKED)'!$F$12,)</f>
        <v>6317815.61706866</v>
      </c>
      <c r="J50" s="262">
        <f>FV(I$2/12,'PFR (LINKED)'!$A61*12,-'PFR (LINKED)'!$F$13,)</f>
        <v>0</v>
      </c>
      <c r="K50" s="262">
        <f t="shared" si="14"/>
        <v>6317815.61706866</v>
      </c>
      <c r="L50" s="261">
        <f>FV($L$2/1,'PFR (LINKED)'!$A61*1,,-'PFR (LINKED)'!$F$12,)</f>
        <v>9905971.09232584</v>
      </c>
      <c r="M50" s="262">
        <f>FV(L$2/12,'PFR (LINKED)'!$A61*12,-'PFR (LINKED)'!$F$13,)</f>
        <v>0</v>
      </c>
      <c r="N50" s="262">
        <f t="shared" si="15"/>
        <v>9905971.09232584</v>
      </c>
      <c r="O50" s="261">
        <f>FV($O$2/1,'PFR (LINKED)'!$A61*1,,-'PFR (LINKED)'!$F$12,)</f>
        <v>24045707.0185058</v>
      </c>
      <c r="P50" s="262">
        <f>FV(O$2/12,'PFR (LINKED)'!$A61*12,-'PFR (LINKED)'!$F$13,)</f>
        <v>0</v>
      </c>
      <c r="Q50" s="262">
        <f t="shared" si="16"/>
        <v>24045707.0185058</v>
      </c>
      <c r="R50" s="261">
        <f>FV($R$2/1,'PFR (LINKED)'!$A61*1,,-'PFR (LINKED)'!$F$12,)</f>
        <v>37232012.1688381</v>
      </c>
      <c r="S50" s="262">
        <f>FV(R$2/12,'PFR (LINKED)'!$A61*12,-'PFR (LINKED)'!$F$13,)</f>
        <v>0</v>
      </c>
      <c r="T50" s="262">
        <f t="shared" si="17"/>
        <v>37232012.1688381</v>
      </c>
      <c r="U50" s="261">
        <f>FV($U$2/1,'PFR (LINKED)'!$A61*1,,-'PFR (LINKED)'!$F$12,)</f>
        <v>57417648.6208568</v>
      </c>
      <c r="V50" s="262">
        <f>FV(U$2/12,'PFR (LINKED)'!$A61*12,-'PFR (LINKED)'!$F$13,)</f>
        <v>0</v>
      </c>
      <c r="W50" s="262">
        <f t="shared" si="18"/>
        <v>57417648.6208568</v>
      </c>
      <c r="X50" s="261">
        <f>FV($X$2/1,'PFR (LINKED)'!$A61*1,,-'PFR (LINKED)'!$F$12,)</f>
        <v>88197485.258975</v>
      </c>
      <c r="Y50" s="262">
        <f>FV(X$2/12,'PFR (LINKED)'!$A61*12,-'PFR (LINKED)'!$F$13,)</f>
        <v>0</v>
      </c>
      <c r="Z50" s="262">
        <f t="shared" si="19"/>
        <v>88197485.258975</v>
      </c>
      <c r="AA50" s="261">
        <f>FV($AA$2/1,'PFR (LINKED)'!$A61*1,,-'PFR (LINKED)'!$F$12,)</f>
        <v>24045707.0185058</v>
      </c>
      <c r="AB50" s="262">
        <f>FV(AA$2/12,'PFR (LINKED)'!$A61*12,-'PFR (LINKED)'!$F$13,)</f>
        <v>0</v>
      </c>
      <c r="AC50" s="262">
        <f t="shared" si="20"/>
        <v>24045707.0185058</v>
      </c>
      <c r="AD50" s="261">
        <f>FV($AD$2/1,'PFR (LINKED)'!$A61*1,,-'PFR (LINKED)'!$F$12,)</f>
        <v>24045707.0185058</v>
      </c>
      <c r="AE50" s="262">
        <f>FV(AD$2/12,'PFR (LINKED)'!$A61*12,-'PFR (LINKED)'!$F$13,)</f>
        <v>0</v>
      </c>
      <c r="AF50" s="262">
        <f t="shared" si="21"/>
        <v>24045707.0185058</v>
      </c>
    </row>
    <row r="51" spans="8:32">
      <c r="H51" s="251">
        <v>48</v>
      </c>
      <c r="I51" s="261">
        <f>FV($I$2/1,'PFR (LINKED)'!$A62*1,,-'PFR (LINKED)'!$F$12,)</f>
        <v>6570528.2417514</v>
      </c>
      <c r="J51" s="262">
        <f>FV(I$2/12,'PFR (LINKED)'!$A62*12,-'PFR (LINKED)'!$F$13,)</f>
        <v>0</v>
      </c>
      <c r="K51" s="262">
        <f t="shared" si="14"/>
        <v>6570528.2417514</v>
      </c>
      <c r="L51" s="261">
        <f>FV($L$2/1,'PFR (LINKED)'!$A62*1,,-'PFR (LINKED)'!$F$12,)</f>
        <v>10401269.6469421</v>
      </c>
      <c r="M51" s="262">
        <f>FV(L$2/12,'PFR (LINKED)'!$A62*12,-'PFR (LINKED)'!$F$13,)</f>
        <v>0</v>
      </c>
      <c r="N51" s="262">
        <f t="shared" si="15"/>
        <v>10401269.6469421</v>
      </c>
      <c r="O51" s="261">
        <f>FV($O$2/1,'PFR (LINKED)'!$A62*1,,-'PFR (LINKED)'!$F$12,)</f>
        <v>25728906.5098012</v>
      </c>
      <c r="P51" s="262">
        <f>FV(O$2/12,'PFR (LINKED)'!$A62*12,-'PFR (LINKED)'!$F$13,)</f>
        <v>0</v>
      </c>
      <c r="Q51" s="262">
        <f t="shared" si="16"/>
        <v>25728906.5098012</v>
      </c>
      <c r="R51" s="261">
        <f>FV($R$2/1,'PFR (LINKED)'!$A62*1,,-'PFR (LINKED)'!$F$12,)</f>
        <v>40210573.1423451</v>
      </c>
      <c r="S51" s="262">
        <f>FV(R$2/12,'PFR (LINKED)'!$A62*12,-'PFR (LINKED)'!$F$13,)</f>
        <v>0</v>
      </c>
      <c r="T51" s="262">
        <f t="shared" si="17"/>
        <v>40210573.1423451</v>
      </c>
      <c r="U51" s="261">
        <f>FV($U$2/1,'PFR (LINKED)'!$A62*1,,-'PFR (LINKED)'!$F$12,)</f>
        <v>62585236.996734</v>
      </c>
      <c r="V51" s="262">
        <f>FV(U$2/12,'PFR (LINKED)'!$A62*12,-'PFR (LINKED)'!$F$13,)</f>
        <v>0</v>
      </c>
      <c r="W51" s="262">
        <f t="shared" si="18"/>
        <v>62585236.996734</v>
      </c>
      <c r="X51" s="261">
        <f>FV($X$2/1,'PFR (LINKED)'!$A62*1,,-'PFR (LINKED)'!$F$12,)</f>
        <v>97017233.7848725</v>
      </c>
      <c r="Y51" s="262">
        <f>FV(X$2/12,'PFR (LINKED)'!$A62*12,-'PFR (LINKED)'!$F$13,)</f>
        <v>0</v>
      </c>
      <c r="Z51" s="262">
        <f t="shared" si="19"/>
        <v>97017233.7848725</v>
      </c>
      <c r="AA51" s="261">
        <f>FV($AA$2/1,'PFR (LINKED)'!$A62*1,,-'PFR (LINKED)'!$F$12,)</f>
        <v>25728906.5098012</v>
      </c>
      <c r="AB51" s="262">
        <f>FV(AA$2/12,'PFR (LINKED)'!$A62*12,-'PFR (LINKED)'!$F$13,)</f>
        <v>0</v>
      </c>
      <c r="AC51" s="262">
        <f t="shared" si="20"/>
        <v>25728906.5098012</v>
      </c>
      <c r="AD51" s="261">
        <f>FV($AD$2/1,'PFR (LINKED)'!$A62*1,,-'PFR (LINKED)'!$F$12,)</f>
        <v>25728906.5098012</v>
      </c>
      <c r="AE51" s="262">
        <f>FV(AD$2/12,'PFR (LINKED)'!$A62*12,-'PFR (LINKED)'!$F$13,)</f>
        <v>0</v>
      </c>
      <c r="AF51" s="262">
        <f t="shared" si="21"/>
        <v>25728906.5098012</v>
      </c>
    </row>
    <row r="52" spans="8:32">
      <c r="H52" s="251">
        <v>49</v>
      </c>
      <c r="I52" s="261">
        <f>FV($I$2/1,'PFR (LINKED)'!$A63*1,,-'PFR (LINKED)'!$F$12,)</f>
        <v>6833349.37142146</v>
      </c>
      <c r="J52" s="262">
        <f>FV(I$2/12,'PFR (LINKED)'!$A63*12,-'PFR (LINKED)'!$F$13,)</f>
        <v>0</v>
      </c>
      <c r="K52" s="262">
        <f t="shared" si="14"/>
        <v>6833349.37142146</v>
      </c>
      <c r="L52" s="261">
        <f>FV($L$2/1,'PFR (LINKED)'!$A63*1,,-'PFR (LINKED)'!$F$12,)</f>
        <v>10921333.1292892</v>
      </c>
      <c r="M52" s="262">
        <f>FV(L$2/12,'PFR (LINKED)'!$A63*12,-'PFR (LINKED)'!$F$13,)</f>
        <v>0</v>
      </c>
      <c r="N52" s="262">
        <f t="shared" si="15"/>
        <v>10921333.1292892</v>
      </c>
      <c r="O52" s="261">
        <f>FV($O$2/1,'PFR (LINKED)'!$A63*1,,-'PFR (LINKED)'!$F$12,)</f>
        <v>27529929.9654873</v>
      </c>
      <c r="P52" s="262">
        <f>FV(O$2/12,'PFR (LINKED)'!$A63*12,-'PFR (LINKED)'!$F$13,)</f>
        <v>0</v>
      </c>
      <c r="Q52" s="262">
        <f t="shared" si="16"/>
        <v>27529929.9654873</v>
      </c>
      <c r="R52" s="261">
        <f>FV($R$2/1,'PFR (LINKED)'!$A63*1,,-'PFR (LINKED)'!$F$12,)</f>
        <v>43427418.9937327</v>
      </c>
      <c r="S52" s="262">
        <f>FV(R$2/12,'PFR (LINKED)'!$A63*12,-'PFR (LINKED)'!$F$13,)</f>
        <v>0</v>
      </c>
      <c r="T52" s="262">
        <f t="shared" si="17"/>
        <v>43427418.9937327</v>
      </c>
      <c r="U52" s="261">
        <f>FV($U$2/1,'PFR (LINKED)'!$A63*1,,-'PFR (LINKED)'!$F$12,)</f>
        <v>68217908.32644</v>
      </c>
      <c r="V52" s="262">
        <f>FV(U$2/12,'PFR (LINKED)'!$A63*12,-'PFR (LINKED)'!$F$13,)</f>
        <v>0</v>
      </c>
      <c r="W52" s="262">
        <f t="shared" si="18"/>
        <v>68217908.32644</v>
      </c>
      <c r="X52" s="261">
        <f>FV($X$2/1,'PFR (LINKED)'!$A63*1,,-'PFR (LINKED)'!$F$12,)</f>
        <v>106718957.16336</v>
      </c>
      <c r="Y52" s="262">
        <f>FV(X$2/12,'PFR (LINKED)'!$A63*12,-'PFR (LINKED)'!$F$13,)</f>
        <v>0</v>
      </c>
      <c r="Z52" s="262">
        <f t="shared" si="19"/>
        <v>106718957.16336</v>
      </c>
      <c r="AA52" s="261">
        <f>FV($AA$2/1,'PFR (LINKED)'!$A63*1,,-'PFR (LINKED)'!$F$12,)</f>
        <v>27529929.9654873</v>
      </c>
      <c r="AB52" s="262">
        <f>FV(AA$2/12,'PFR (LINKED)'!$A63*12,-'PFR (LINKED)'!$F$13,)</f>
        <v>0</v>
      </c>
      <c r="AC52" s="262">
        <f t="shared" si="20"/>
        <v>27529929.9654873</v>
      </c>
      <c r="AD52" s="261">
        <f>FV($AD$2/1,'PFR (LINKED)'!$A63*1,,-'PFR (LINKED)'!$F$12,)</f>
        <v>27529929.9654873</v>
      </c>
      <c r="AE52" s="262">
        <f>FV(AD$2/12,'PFR (LINKED)'!$A63*12,-'PFR (LINKED)'!$F$13,)</f>
        <v>0</v>
      </c>
      <c r="AF52" s="262">
        <f t="shared" si="21"/>
        <v>27529929.9654873</v>
      </c>
    </row>
    <row r="53" spans="8:32">
      <c r="H53" s="251">
        <v>50</v>
      </c>
      <c r="I53" s="261">
        <f>FV($I$2/1,'PFR (LINKED)'!$A64*1,,-'PFR (LINKED)'!$F$12,)</f>
        <v>7106683.34627832</v>
      </c>
      <c r="J53" s="262">
        <f>FV(I$2/12,'PFR (LINKED)'!$A64*12,-'PFR (LINKED)'!$F$13,)</f>
        <v>0</v>
      </c>
      <c r="K53" s="262">
        <f t="shared" si="14"/>
        <v>7106683.34627832</v>
      </c>
      <c r="L53" s="261">
        <f>FV($L$2/1,'PFR (LINKED)'!$A64*1,,-'PFR (LINKED)'!$F$12,)</f>
        <v>11467399.7857537</v>
      </c>
      <c r="M53" s="262">
        <f>FV(L$2/12,'PFR (LINKED)'!$A64*12,-'PFR (LINKED)'!$F$13,)</f>
        <v>0</v>
      </c>
      <c r="N53" s="262">
        <f t="shared" si="15"/>
        <v>11467399.7857537</v>
      </c>
      <c r="O53" s="261">
        <f>FV($O$2/1,'PFR (LINKED)'!$A64*1,,-'PFR (LINKED)'!$F$12,)</f>
        <v>29457025.0630714</v>
      </c>
      <c r="P53" s="262">
        <f>FV(O$2/12,'PFR (LINKED)'!$A64*12,-'PFR (LINKED)'!$F$13,)</f>
        <v>0</v>
      </c>
      <c r="Q53" s="262">
        <f t="shared" si="16"/>
        <v>29457025.0630714</v>
      </c>
      <c r="R53" s="261">
        <f>FV($R$2/1,'PFR (LINKED)'!$A64*1,,-'PFR (LINKED)'!$F$12,)</f>
        <v>46901612.5132314</v>
      </c>
      <c r="S53" s="262">
        <f>FV(R$2/12,'PFR (LINKED)'!$A64*12,-'PFR (LINKED)'!$F$13,)</f>
        <v>0</v>
      </c>
      <c r="T53" s="262">
        <f t="shared" si="17"/>
        <v>46901612.5132314</v>
      </c>
      <c r="U53" s="261">
        <f>FV($U$2/1,'PFR (LINKED)'!$A64*1,,-'PFR (LINKED)'!$F$12,)</f>
        <v>74357520.0758196</v>
      </c>
      <c r="V53" s="262">
        <f>FV(U$2/12,'PFR (LINKED)'!$A64*12,-'PFR (LINKED)'!$F$13,)</f>
        <v>0</v>
      </c>
      <c r="W53" s="262">
        <f t="shared" si="18"/>
        <v>74357520.0758196</v>
      </c>
      <c r="X53" s="261">
        <f>FV($X$2/1,'PFR (LINKED)'!$A64*1,,-'PFR (LINKED)'!$F$12,)</f>
        <v>117390852.879696</v>
      </c>
      <c r="Y53" s="262">
        <f>FV(X$2/12,'PFR (LINKED)'!$A64*12,-'PFR (LINKED)'!$F$13,)</f>
        <v>0</v>
      </c>
      <c r="Z53" s="262">
        <f t="shared" si="19"/>
        <v>117390852.879696</v>
      </c>
      <c r="AA53" s="261">
        <f>FV($AA$2/1,'PFR (LINKED)'!$A64*1,,-'PFR (LINKED)'!$F$12,)</f>
        <v>29457025.0630714</v>
      </c>
      <c r="AB53" s="262">
        <f>FV(AA$2/12,'PFR (LINKED)'!$A64*12,-'PFR (LINKED)'!$F$13,)</f>
        <v>0</v>
      </c>
      <c r="AC53" s="262">
        <f t="shared" si="20"/>
        <v>29457025.0630714</v>
      </c>
      <c r="AD53" s="261">
        <f>FV($AD$2/1,'PFR (LINKED)'!$A64*1,,-'PFR (LINKED)'!$F$12,)</f>
        <v>29457025.0630714</v>
      </c>
      <c r="AE53" s="262">
        <f>FV(AD$2/12,'PFR (LINKED)'!$A64*12,-'PFR (LINKED)'!$F$13,)</f>
        <v>0</v>
      </c>
      <c r="AF53" s="262">
        <f t="shared" si="21"/>
        <v>29457025.0630714</v>
      </c>
    </row>
    <row r="54" spans="8:32">
      <c r="H54" s="251">
        <v>51</v>
      </c>
      <c r="I54" s="261">
        <f>FV($I$2/1,'PFR (LINKED)'!$A65*1,,-'PFR (LINKED)'!$F$12,)</f>
        <v>7390950.68012945</v>
      </c>
      <c r="J54" s="262">
        <f>FV(I$2/12,'PFR (LINKED)'!$A65*12,-'PFR (LINKED)'!$F$13,)</f>
        <v>0</v>
      </c>
      <c r="K54" s="262">
        <f t="shared" si="14"/>
        <v>7390950.68012945</v>
      </c>
      <c r="L54" s="261">
        <f>FV($L$2/1,'PFR (LINKED)'!$A65*1,,-'PFR (LINKED)'!$F$12,)</f>
        <v>12040769.7750414</v>
      </c>
      <c r="M54" s="262">
        <f>FV(L$2/12,'PFR (LINKED)'!$A65*12,-'PFR (LINKED)'!$F$13,)</f>
        <v>0</v>
      </c>
      <c r="N54" s="262">
        <f t="shared" si="15"/>
        <v>12040769.7750414</v>
      </c>
      <c r="O54" s="261">
        <f>FV($O$2/1,'PFR (LINKED)'!$A65*1,,-'PFR (LINKED)'!$F$12,)</f>
        <v>31519016.8174864</v>
      </c>
      <c r="P54" s="262">
        <f>FV(O$2/12,'PFR (LINKED)'!$A65*12,-'PFR (LINKED)'!$F$13,)</f>
        <v>0</v>
      </c>
      <c r="Q54" s="262">
        <f t="shared" si="16"/>
        <v>31519016.8174864</v>
      </c>
      <c r="R54" s="261">
        <f>FV($R$2/1,'PFR (LINKED)'!$A65*1,,-'PFR (LINKED)'!$F$12,)</f>
        <v>50653741.5142899</v>
      </c>
      <c r="S54" s="262">
        <f>FV(R$2/12,'PFR (LINKED)'!$A65*12,-'PFR (LINKED)'!$F$13,)</f>
        <v>0</v>
      </c>
      <c r="T54" s="262">
        <f t="shared" si="17"/>
        <v>50653741.5142899</v>
      </c>
      <c r="U54" s="261">
        <f>FV($U$2/1,'PFR (LINKED)'!$A65*1,,-'PFR (LINKED)'!$F$12,)</f>
        <v>81049696.8826434</v>
      </c>
      <c r="V54" s="262">
        <f>FV(U$2/12,'PFR (LINKED)'!$A65*12,-'PFR (LINKED)'!$F$13,)</f>
        <v>0</v>
      </c>
      <c r="W54" s="262">
        <f t="shared" si="18"/>
        <v>81049696.8826434</v>
      </c>
      <c r="X54" s="261">
        <f>FV($X$2/1,'PFR (LINKED)'!$A65*1,,-'PFR (LINKED)'!$F$12,)</f>
        <v>129129938.167665</v>
      </c>
      <c r="Y54" s="262">
        <f>FV(X$2/12,'PFR (LINKED)'!$A65*12,-'PFR (LINKED)'!$F$13,)</f>
        <v>0</v>
      </c>
      <c r="Z54" s="262">
        <f t="shared" si="19"/>
        <v>129129938.167665</v>
      </c>
      <c r="AA54" s="261">
        <f>FV($AA$2/1,'PFR (LINKED)'!$A65*1,,-'PFR (LINKED)'!$F$12,)</f>
        <v>31519016.8174864</v>
      </c>
      <c r="AB54" s="262">
        <f>FV(AA$2/12,'PFR (LINKED)'!$A65*12,-'PFR (LINKED)'!$F$13,)</f>
        <v>0</v>
      </c>
      <c r="AC54" s="262">
        <f t="shared" si="20"/>
        <v>31519016.8174864</v>
      </c>
      <c r="AD54" s="261">
        <f>FV($AD$2/1,'PFR (LINKED)'!$A65*1,,-'PFR (LINKED)'!$F$12,)</f>
        <v>31519016.8174864</v>
      </c>
      <c r="AE54" s="262">
        <f>FV(AD$2/12,'PFR (LINKED)'!$A65*12,-'PFR (LINKED)'!$F$13,)</f>
        <v>0</v>
      </c>
      <c r="AF54" s="262">
        <f t="shared" si="21"/>
        <v>31519016.8174864</v>
      </c>
    </row>
    <row r="55" spans="8:32">
      <c r="H55" s="251">
        <v>52</v>
      </c>
      <c r="I55" s="261">
        <f>FV($I$2/1,'PFR (LINKED)'!$A66*1,,-'PFR (LINKED)'!$F$12,)</f>
        <v>7686588.70733463</v>
      </c>
      <c r="J55" s="262">
        <f>FV(I$2/12,'PFR (LINKED)'!$A66*12,-'PFR (LINKED)'!$F$13,)</f>
        <v>0</v>
      </c>
      <c r="K55" s="262">
        <f t="shared" si="14"/>
        <v>7686588.70733463</v>
      </c>
      <c r="L55" s="261">
        <f>FV($L$2/1,'PFR (LINKED)'!$A66*1,,-'PFR (LINKED)'!$F$12,)</f>
        <v>12642808.2637935</v>
      </c>
      <c r="M55" s="262">
        <f>FV(L$2/12,'PFR (LINKED)'!$A66*12,-'PFR (LINKED)'!$F$13,)</f>
        <v>0</v>
      </c>
      <c r="N55" s="262">
        <f t="shared" si="15"/>
        <v>12642808.2637935</v>
      </c>
      <c r="O55" s="261">
        <f>FV($O$2/1,'PFR (LINKED)'!$A66*1,,-'PFR (LINKED)'!$F$12,)</f>
        <v>33725347.9947105</v>
      </c>
      <c r="P55" s="262">
        <f>FV(O$2/12,'PFR (LINKED)'!$A66*12,-'PFR (LINKED)'!$F$13,)</f>
        <v>0</v>
      </c>
      <c r="Q55" s="262">
        <f t="shared" si="16"/>
        <v>33725347.9947105</v>
      </c>
      <c r="R55" s="261">
        <f>FV($R$2/1,'PFR (LINKED)'!$A66*1,,-'PFR (LINKED)'!$F$12,)</f>
        <v>54706040.8354331</v>
      </c>
      <c r="S55" s="262">
        <f>FV(R$2/12,'PFR (LINKED)'!$A66*12,-'PFR (LINKED)'!$F$13,)</f>
        <v>0</v>
      </c>
      <c r="T55" s="262">
        <f t="shared" si="17"/>
        <v>54706040.8354331</v>
      </c>
      <c r="U55" s="261">
        <f>FV($U$2/1,'PFR (LINKED)'!$A66*1,,-'PFR (LINKED)'!$F$12,)</f>
        <v>88344169.6020813</v>
      </c>
      <c r="V55" s="262">
        <f>FV(U$2/12,'PFR (LINKED)'!$A66*12,-'PFR (LINKED)'!$F$13,)</f>
        <v>0</v>
      </c>
      <c r="W55" s="262">
        <f t="shared" si="18"/>
        <v>88344169.6020813</v>
      </c>
      <c r="X55" s="261">
        <f>FV($X$2/1,'PFR (LINKED)'!$A66*1,,-'PFR (LINKED)'!$F$12,)</f>
        <v>142042931.984432</v>
      </c>
      <c r="Y55" s="262">
        <f>FV(X$2/12,'PFR (LINKED)'!$A66*12,-'PFR (LINKED)'!$F$13,)</f>
        <v>0</v>
      </c>
      <c r="Z55" s="262">
        <f t="shared" si="19"/>
        <v>142042931.984432</v>
      </c>
      <c r="AA55" s="261">
        <f>FV($AA$2/1,'PFR (LINKED)'!$A66*1,,-'PFR (LINKED)'!$F$12,)</f>
        <v>33725347.9947105</v>
      </c>
      <c r="AB55" s="262">
        <f>FV(AA$2/12,'PFR (LINKED)'!$A66*12,-'PFR (LINKED)'!$F$13,)</f>
        <v>0</v>
      </c>
      <c r="AC55" s="262">
        <f t="shared" si="20"/>
        <v>33725347.9947105</v>
      </c>
      <c r="AD55" s="261">
        <f>FV($AD$2/1,'PFR (LINKED)'!$A66*1,,-'PFR (LINKED)'!$F$12,)</f>
        <v>33725347.9947105</v>
      </c>
      <c r="AE55" s="262">
        <f>FV(AD$2/12,'PFR (LINKED)'!$A66*12,-'PFR (LINKED)'!$F$13,)</f>
        <v>0</v>
      </c>
      <c r="AF55" s="262">
        <f t="shared" si="21"/>
        <v>33725347.9947105</v>
      </c>
    </row>
    <row r="56" spans="8:32">
      <c r="H56" s="251">
        <v>53</v>
      </c>
      <c r="I56" s="261">
        <f>FV($I$2/1,'PFR (LINKED)'!$A67*1,,-'PFR (LINKED)'!$F$12,)</f>
        <v>7994052.25562801</v>
      </c>
      <c r="J56" s="262">
        <f>FV(I$2/12,'PFR (LINKED)'!$A67*12,-'PFR (LINKED)'!$F$13,)</f>
        <v>0</v>
      </c>
      <c r="K56" s="262">
        <f t="shared" si="14"/>
        <v>7994052.25562801</v>
      </c>
      <c r="L56" s="261">
        <f>FV($L$2/1,'PFR (LINKED)'!$A67*1,,-'PFR (LINKED)'!$F$12,)</f>
        <v>13274948.6769831</v>
      </c>
      <c r="M56" s="262">
        <f>FV(L$2/12,'PFR (LINKED)'!$A67*12,-'PFR (LINKED)'!$F$13,)</f>
        <v>0</v>
      </c>
      <c r="N56" s="262">
        <f t="shared" si="15"/>
        <v>13274948.6769831</v>
      </c>
      <c r="O56" s="261">
        <f>FV($O$2/1,'PFR (LINKED)'!$A67*1,,-'PFR (LINKED)'!$F$12,)</f>
        <v>36086122.3543402</v>
      </c>
      <c r="P56" s="262">
        <f>FV(O$2/12,'PFR (LINKED)'!$A67*12,-'PFR (LINKED)'!$F$13,)</f>
        <v>0</v>
      </c>
      <c r="Q56" s="262">
        <f t="shared" si="16"/>
        <v>36086122.3543402</v>
      </c>
      <c r="R56" s="261">
        <f>FV($R$2/1,'PFR (LINKED)'!$A67*1,,-'PFR (LINKED)'!$F$12,)</f>
        <v>59082524.1022677</v>
      </c>
      <c r="S56" s="262">
        <f>FV(R$2/12,'PFR (LINKED)'!$A67*12,-'PFR (LINKED)'!$F$13,)</f>
        <v>0</v>
      </c>
      <c r="T56" s="262">
        <f t="shared" si="17"/>
        <v>59082524.1022677</v>
      </c>
      <c r="U56" s="261">
        <f>FV($U$2/1,'PFR (LINKED)'!$A67*1,,-'PFR (LINKED)'!$F$12,)</f>
        <v>96295144.8662686</v>
      </c>
      <c r="V56" s="262">
        <f>FV(U$2/12,'PFR (LINKED)'!$A67*12,-'PFR (LINKED)'!$F$13,)</f>
        <v>0</v>
      </c>
      <c r="W56" s="262">
        <f t="shared" si="18"/>
        <v>96295144.8662686</v>
      </c>
      <c r="X56" s="261">
        <f>FV($X$2/1,'PFR (LINKED)'!$A67*1,,-'PFR (LINKED)'!$F$12,)</f>
        <v>156247225.182875</v>
      </c>
      <c r="Y56" s="262">
        <f>FV(X$2/12,'PFR (LINKED)'!$A67*12,-'PFR (LINKED)'!$F$13,)</f>
        <v>0</v>
      </c>
      <c r="Z56" s="262">
        <f t="shared" si="19"/>
        <v>156247225.182875</v>
      </c>
      <c r="AA56" s="261">
        <f>FV($AA$2/1,'PFR (LINKED)'!$A67*1,,-'PFR (LINKED)'!$F$12,)</f>
        <v>36086122.3543402</v>
      </c>
      <c r="AB56" s="262">
        <f>FV(AA$2/12,'PFR (LINKED)'!$A67*12,-'PFR (LINKED)'!$F$13,)</f>
        <v>0</v>
      </c>
      <c r="AC56" s="262">
        <f t="shared" si="20"/>
        <v>36086122.3543402</v>
      </c>
      <c r="AD56" s="261">
        <f>FV($AD$2/1,'PFR (LINKED)'!$A67*1,,-'PFR (LINKED)'!$F$12,)</f>
        <v>36086122.3543402</v>
      </c>
      <c r="AE56" s="262">
        <f>FV(AD$2/12,'PFR (LINKED)'!$A67*12,-'PFR (LINKED)'!$F$13,)</f>
        <v>0</v>
      </c>
      <c r="AF56" s="262">
        <f t="shared" si="21"/>
        <v>36086122.3543402</v>
      </c>
    </row>
    <row r="57" spans="8:32">
      <c r="H57" s="251">
        <v>54</v>
      </c>
      <c r="I57" s="261">
        <f>FV($I$2/1,'PFR (LINKED)'!$A68*1,,-'PFR (LINKED)'!$F$12,)</f>
        <v>8313814.34585313</v>
      </c>
      <c r="J57" s="262">
        <f>FV(I$2/12,'PFR (LINKED)'!$A68*12,-'PFR (LINKED)'!$F$13,)</f>
        <v>0</v>
      </c>
      <c r="K57" s="262">
        <f t="shared" si="14"/>
        <v>8313814.34585313</v>
      </c>
      <c r="L57" s="261">
        <f>FV($L$2/1,'PFR (LINKED)'!$A68*1,,-'PFR (LINKED)'!$F$12,)</f>
        <v>13938696.1108323</v>
      </c>
      <c r="M57" s="262">
        <f>FV(L$2/12,'PFR (LINKED)'!$A68*12,-'PFR (LINKED)'!$F$13,)</f>
        <v>0</v>
      </c>
      <c r="N57" s="262">
        <f t="shared" si="15"/>
        <v>13938696.1108323</v>
      </c>
      <c r="O57" s="261">
        <f>FV($O$2/1,'PFR (LINKED)'!$A68*1,,-'PFR (LINKED)'!$F$12,)</f>
        <v>38612150.919144</v>
      </c>
      <c r="P57" s="262">
        <f>FV(O$2/12,'PFR (LINKED)'!$A68*12,-'PFR (LINKED)'!$F$13,)</f>
        <v>0</v>
      </c>
      <c r="Q57" s="262">
        <f t="shared" si="16"/>
        <v>38612150.919144</v>
      </c>
      <c r="R57" s="261">
        <f>FV($R$2/1,'PFR (LINKED)'!$A68*1,,-'PFR (LINKED)'!$F$12,)</f>
        <v>63809126.0304491</v>
      </c>
      <c r="S57" s="262">
        <f>FV(R$2/12,'PFR (LINKED)'!$A68*12,-'PFR (LINKED)'!$F$13,)</f>
        <v>0</v>
      </c>
      <c r="T57" s="262">
        <f t="shared" si="17"/>
        <v>63809126.0304491</v>
      </c>
      <c r="U57" s="261">
        <f>FV($U$2/1,'PFR (LINKED)'!$A68*1,,-'PFR (LINKED)'!$F$12,)</f>
        <v>104961707.904233</v>
      </c>
      <c r="V57" s="262">
        <f>FV(U$2/12,'PFR (LINKED)'!$A68*12,-'PFR (LINKED)'!$F$13,)</f>
        <v>0</v>
      </c>
      <c r="W57" s="262">
        <f t="shared" si="18"/>
        <v>104961707.904233</v>
      </c>
      <c r="X57" s="261">
        <f>FV($X$2/1,'PFR (LINKED)'!$A68*1,,-'PFR (LINKED)'!$F$12,)</f>
        <v>171871947.701163</v>
      </c>
      <c r="Y57" s="262">
        <f>FV(X$2/12,'PFR (LINKED)'!$A68*12,-'PFR (LINKED)'!$F$13,)</f>
        <v>0</v>
      </c>
      <c r="Z57" s="262">
        <f t="shared" si="19"/>
        <v>171871947.701163</v>
      </c>
      <c r="AA57" s="261">
        <f>FV($AA$2/1,'PFR (LINKED)'!$A68*1,,-'PFR (LINKED)'!$F$12,)</f>
        <v>38612150.919144</v>
      </c>
      <c r="AB57" s="262">
        <f>FV(AA$2/12,'PFR (LINKED)'!$A68*12,-'PFR (LINKED)'!$F$13,)</f>
        <v>0</v>
      </c>
      <c r="AC57" s="262">
        <f t="shared" si="20"/>
        <v>38612150.919144</v>
      </c>
      <c r="AD57" s="261">
        <f>FV($AD$2/1,'PFR (LINKED)'!$A68*1,,-'PFR (LINKED)'!$F$12,)</f>
        <v>38612150.919144</v>
      </c>
      <c r="AE57" s="262">
        <f>FV(AD$2/12,'PFR (LINKED)'!$A68*12,-'PFR (LINKED)'!$F$13,)</f>
        <v>0</v>
      </c>
      <c r="AF57" s="262">
        <f t="shared" si="21"/>
        <v>38612150.919144</v>
      </c>
    </row>
    <row r="58" spans="8:32">
      <c r="H58" s="251">
        <v>55</v>
      </c>
      <c r="I58" s="261">
        <f>FV($I$2/1,'PFR (LINKED)'!$A69*1,,-'PFR (LINKED)'!$F$12,)</f>
        <v>8646366.91968726</v>
      </c>
      <c r="J58" s="262">
        <f>FV(I$2/12,'PFR (LINKED)'!$A69*12,-'PFR (LINKED)'!$F$13,)</f>
        <v>0</v>
      </c>
      <c r="K58" s="262">
        <f t="shared" si="14"/>
        <v>8646366.91968726</v>
      </c>
      <c r="L58" s="261">
        <f>FV($L$2/1,'PFR (LINKED)'!$A69*1,,-'PFR (LINKED)'!$F$12,)</f>
        <v>14635630.9163739</v>
      </c>
      <c r="M58" s="262">
        <f>FV(L$2/12,'PFR (LINKED)'!$A69*12,-'PFR (LINKED)'!$F$13,)</f>
        <v>0</v>
      </c>
      <c r="N58" s="262">
        <f t="shared" si="15"/>
        <v>14635630.9163739</v>
      </c>
      <c r="O58" s="261">
        <f>FV($O$2/1,'PFR (LINKED)'!$A69*1,,-'PFR (LINKED)'!$F$12,)</f>
        <v>41315001.4834841</v>
      </c>
      <c r="P58" s="262">
        <f>FV(O$2/12,'PFR (LINKED)'!$A69*12,-'PFR (LINKED)'!$F$13,)</f>
        <v>0</v>
      </c>
      <c r="Q58" s="262">
        <f t="shared" si="16"/>
        <v>41315001.4834841</v>
      </c>
      <c r="R58" s="261">
        <f>FV($R$2/1,'PFR (LINKED)'!$A69*1,,-'PFR (LINKED)'!$F$12,)</f>
        <v>68913856.1128851</v>
      </c>
      <c r="S58" s="262">
        <f>FV(R$2/12,'PFR (LINKED)'!$A69*12,-'PFR (LINKED)'!$F$13,)</f>
        <v>0</v>
      </c>
      <c r="T58" s="262">
        <f t="shared" si="17"/>
        <v>68913856.1128851</v>
      </c>
      <c r="U58" s="261">
        <f>FV($U$2/1,'PFR (LINKED)'!$A69*1,,-'PFR (LINKED)'!$F$12,)</f>
        <v>114408261.615614</v>
      </c>
      <c r="V58" s="262">
        <f>FV(U$2/12,'PFR (LINKED)'!$A69*12,-'PFR (LINKED)'!$F$13,)</f>
        <v>0</v>
      </c>
      <c r="W58" s="262">
        <f t="shared" si="18"/>
        <v>114408261.615614</v>
      </c>
      <c r="X58" s="261">
        <f>FV($X$2/1,'PFR (LINKED)'!$A69*1,,-'PFR (LINKED)'!$F$12,)</f>
        <v>189059142.471279</v>
      </c>
      <c r="Y58" s="262">
        <f>FV(X$2/12,'PFR (LINKED)'!$A69*12,-'PFR (LINKED)'!$F$13,)</f>
        <v>0</v>
      </c>
      <c r="Z58" s="262">
        <f t="shared" si="19"/>
        <v>189059142.471279</v>
      </c>
      <c r="AA58" s="261">
        <f>FV($AA$2/1,'PFR (LINKED)'!$A69*1,,-'PFR (LINKED)'!$F$12,)</f>
        <v>41315001.4834841</v>
      </c>
      <c r="AB58" s="262">
        <f>FV(AA$2/12,'PFR (LINKED)'!$A69*12,-'PFR (LINKED)'!$F$13,)</f>
        <v>0</v>
      </c>
      <c r="AC58" s="262">
        <f t="shared" si="20"/>
        <v>41315001.4834841</v>
      </c>
      <c r="AD58" s="261">
        <f>FV($AD$2/1,'PFR (LINKED)'!$A69*1,,-'PFR (LINKED)'!$F$12,)</f>
        <v>41315001.4834841</v>
      </c>
      <c r="AE58" s="262">
        <f>FV(AD$2/12,'PFR (LINKED)'!$A69*12,-'PFR (LINKED)'!$F$13,)</f>
        <v>0</v>
      </c>
      <c r="AF58" s="262">
        <f t="shared" si="21"/>
        <v>41315001.4834841</v>
      </c>
    </row>
    <row r="59" spans="8:32">
      <c r="H59" s="251">
        <v>56</v>
      </c>
      <c r="I59" s="261">
        <f>FV($I$2/1,'PFR (LINKED)'!$A70*1,,-'PFR (LINKED)'!$F$12,)</f>
        <v>8992221.59647475</v>
      </c>
      <c r="J59" s="262">
        <f>FV(I$2/12,'PFR (LINKED)'!$A70*12,-'PFR (LINKED)'!$F$13,)</f>
        <v>0</v>
      </c>
      <c r="K59" s="262">
        <f t="shared" si="14"/>
        <v>8992221.59647475</v>
      </c>
      <c r="L59" s="261">
        <f>FV($L$2/1,'PFR (LINKED)'!$A70*1,,-'PFR (LINKED)'!$F$12,)</f>
        <v>15367412.4621926</v>
      </c>
      <c r="M59" s="262">
        <f>FV(L$2/12,'PFR (LINKED)'!$A70*12,-'PFR (LINKED)'!$F$13,)</f>
        <v>0</v>
      </c>
      <c r="N59" s="262">
        <f t="shared" si="15"/>
        <v>15367412.4621926</v>
      </c>
      <c r="O59" s="261">
        <f>FV($O$2/1,'PFR (LINKED)'!$A70*1,,-'PFR (LINKED)'!$F$12,)</f>
        <v>44207051.587328</v>
      </c>
      <c r="P59" s="262">
        <f>FV(O$2/12,'PFR (LINKED)'!$A70*12,-'PFR (LINKED)'!$F$13,)</f>
        <v>0</v>
      </c>
      <c r="Q59" s="262">
        <f t="shared" si="16"/>
        <v>44207051.587328</v>
      </c>
      <c r="R59" s="261">
        <f>FV($R$2/1,'PFR (LINKED)'!$A70*1,,-'PFR (LINKED)'!$F$12,)</f>
        <v>74426964.6019159</v>
      </c>
      <c r="S59" s="262">
        <f>FV(R$2/12,'PFR (LINKED)'!$A70*12,-'PFR (LINKED)'!$F$13,)</f>
        <v>0</v>
      </c>
      <c r="T59" s="262">
        <f t="shared" si="17"/>
        <v>74426964.6019159</v>
      </c>
      <c r="U59" s="261">
        <f>FV($U$2/1,'PFR (LINKED)'!$A70*1,,-'PFR (LINKED)'!$F$12,)</f>
        <v>124705005.161019</v>
      </c>
      <c r="V59" s="262">
        <f>FV(U$2/12,'PFR (LINKED)'!$A70*12,-'PFR (LINKED)'!$F$13,)</f>
        <v>0</v>
      </c>
      <c r="W59" s="262">
        <f t="shared" si="18"/>
        <v>124705005.161019</v>
      </c>
      <c r="X59" s="261">
        <f>FV($X$2/1,'PFR (LINKED)'!$A70*1,,-'PFR (LINKED)'!$F$12,)</f>
        <v>207965056.718407</v>
      </c>
      <c r="Y59" s="262">
        <f>FV(X$2/12,'PFR (LINKED)'!$A70*12,-'PFR (LINKED)'!$F$13,)</f>
        <v>0</v>
      </c>
      <c r="Z59" s="262">
        <f t="shared" si="19"/>
        <v>207965056.718407</v>
      </c>
      <c r="AA59" s="261">
        <f>FV($AA$2/1,'PFR (LINKED)'!$A70*1,,-'PFR (LINKED)'!$F$12,)</f>
        <v>44207051.587328</v>
      </c>
      <c r="AB59" s="262">
        <f>FV(AA$2/12,'PFR (LINKED)'!$A70*12,-'PFR (LINKED)'!$F$13,)</f>
        <v>0</v>
      </c>
      <c r="AC59" s="262">
        <f t="shared" si="20"/>
        <v>44207051.587328</v>
      </c>
      <c r="AD59" s="261">
        <f>FV($AD$2/1,'PFR (LINKED)'!$A70*1,,-'PFR (LINKED)'!$F$12,)</f>
        <v>44207051.587328</v>
      </c>
      <c r="AE59" s="262">
        <f>FV(AD$2/12,'PFR (LINKED)'!$A70*12,-'PFR (LINKED)'!$F$13,)</f>
        <v>0</v>
      </c>
      <c r="AF59" s="262">
        <f t="shared" si="21"/>
        <v>44207051.587328</v>
      </c>
    </row>
    <row r="60" spans="8:32">
      <c r="H60" s="251">
        <v>57</v>
      </c>
      <c r="I60" s="261">
        <f>FV($I$2/1,'PFR (LINKED)'!$A71*1,,-'PFR (LINKED)'!$F$12,)</f>
        <v>9351910.46033374</v>
      </c>
      <c r="J60" s="262">
        <f>FV(I$2/12,'PFR (LINKED)'!$A71*12,-'PFR (LINKED)'!$F$13,)</f>
        <v>0</v>
      </c>
      <c r="K60" s="262">
        <f t="shared" ref="K60:K61" si="22">I60+J60</f>
        <v>9351910.46033374</v>
      </c>
      <c r="L60" s="261">
        <f>FV($L$2/1,'PFR (LINKED)'!$A71*1,,-'PFR (LINKED)'!$F$12,)</f>
        <v>16135783.0853022</v>
      </c>
      <c r="M60" s="262">
        <f>FV(L$2/12,'PFR (LINKED)'!$A71*12,-'PFR (LINKED)'!$F$13,)</f>
        <v>0</v>
      </c>
      <c r="N60" s="262">
        <f t="shared" ref="N60:N61" si="23">L60+M60</f>
        <v>16135783.0853022</v>
      </c>
      <c r="O60" s="261">
        <f>FV($O$2/1,'PFR (LINKED)'!$A71*1,,-'PFR (LINKED)'!$F$12,)</f>
        <v>47301545.1984409</v>
      </c>
      <c r="P60" s="262">
        <f>FV(O$2/12,'PFR (LINKED)'!$A71*12,-'PFR (LINKED)'!$F$13,)</f>
        <v>0</v>
      </c>
      <c r="Q60" s="262">
        <f t="shared" ref="Q60:Q61" si="24">O60+P60</f>
        <v>47301545.1984409</v>
      </c>
      <c r="R60" s="261">
        <f>FV($R$2/1,'PFR (LINKED)'!$A71*1,,-'PFR (LINKED)'!$F$12,)</f>
        <v>80381121.7700691</v>
      </c>
      <c r="S60" s="262">
        <f>FV(R$2/12,'PFR (LINKED)'!$A71*12,-'PFR (LINKED)'!$F$13,)</f>
        <v>0</v>
      </c>
      <c r="T60" s="262">
        <f t="shared" ref="T60:T61" si="25">R60+S60</f>
        <v>80381121.7700691</v>
      </c>
      <c r="U60" s="261">
        <f>FV($U$2/1,'PFR (LINKED)'!$A71*1,,-'PFR (LINKED)'!$F$12,)</f>
        <v>135928455.625511</v>
      </c>
      <c r="V60" s="262">
        <f>FV(U$2/12,'PFR (LINKED)'!$A71*12,-'PFR (LINKED)'!$F$13,)</f>
        <v>0</v>
      </c>
      <c r="W60" s="262">
        <f t="shared" ref="W60:W61" si="26">U60+V60</f>
        <v>135928455.625511</v>
      </c>
      <c r="X60" s="261">
        <f>FV($X$2/1,'PFR (LINKED)'!$A71*1,,-'PFR (LINKED)'!$F$12,)</f>
        <v>228761562.390248</v>
      </c>
      <c r="Y60" s="262">
        <f>FV(X$2/12,'PFR (LINKED)'!$A71*12,-'PFR (LINKED)'!$F$13,)</f>
        <v>0</v>
      </c>
      <c r="Z60" s="262">
        <f t="shared" ref="Z60:Z61" si="27">X60+Y60</f>
        <v>228761562.390248</v>
      </c>
      <c r="AA60" s="261">
        <f>FV($AA$2/1,'PFR (LINKED)'!$A71*1,,-'PFR (LINKED)'!$F$12,)</f>
        <v>47301545.1984409</v>
      </c>
      <c r="AB60" s="262">
        <f>FV(AA$2/12,'PFR (LINKED)'!$A71*12,-'PFR (LINKED)'!$F$13,)</f>
        <v>0</v>
      </c>
      <c r="AC60" s="262">
        <f t="shared" ref="AC60:AC61" si="28">AA60+AB60</f>
        <v>47301545.1984409</v>
      </c>
      <c r="AD60" s="261">
        <f>FV($AD$2/1,'PFR (LINKED)'!$A71*1,,-'PFR (LINKED)'!$F$12,)</f>
        <v>47301545.1984409</v>
      </c>
      <c r="AE60" s="262">
        <f>FV(AD$2/12,'PFR (LINKED)'!$A71*12,-'PFR (LINKED)'!$F$13,)</f>
        <v>0</v>
      </c>
      <c r="AF60" s="262">
        <f t="shared" ref="AF60:AF61" si="29">AD60+AE60</f>
        <v>47301545.1984409</v>
      </c>
    </row>
    <row r="61" spans="8:32">
      <c r="H61" s="251">
        <v>58</v>
      </c>
      <c r="I61" s="261">
        <f>FV($I$2/1,'PFR (LINKED)'!$A72*1,,-'PFR (LINKED)'!$F$12,)</f>
        <v>9725986.87874709</v>
      </c>
      <c r="J61" s="262">
        <f>FV(I$2/12,'PFR (LINKED)'!$A72*12,-'PFR (LINKED)'!$F$13,)</f>
        <v>0</v>
      </c>
      <c r="K61" s="262">
        <f t="shared" si="22"/>
        <v>9725986.87874709</v>
      </c>
      <c r="L61" s="261">
        <f>FV($L$2/1,'PFR (LINKED)'!$A72*1,,-'PFR (LINKED)'!$F$12,)</f>
        <v>16942572.2395673</v>
      </c>
      <c r="M61" s="262">
        <f>FV(L$2/12,'PFR (LINKED)'!$A72*12,-'PFR (LINKED)'!$F$13,)</f>
        <v>0</v>
      </c>
      <c r="N61" s="262">
        <f t="shared" si="23"/>
        <v>16942572.2395673</v>
      </c>
      <c r="O61" s="261">
        <f>FV($O$2/1,'PFR (LINKED)'!$A72*1,,-'PFR (LINKED)'!$F$12,)</f>
        <v>50612653.3623318</v>
      </c>
      <c r="P61" s="262">
        <f>FV(O$2/12,'PFR (LINKED)'!$A72*12,-'PFR (LINKED)'!$F$13,)</f>
        <v>0</v>
      </c>
      <c r="Q61" s="262">
        <f t="shared" si="24"/>
        <v>50612653.3623318</v>
      </c>
      <c r="R61" s="261">
        <f>FV($R$2/1,'PFR (LINKED)'!$A72*1,,-'PFR (LINKED)'!$F$12,)</f>
        <v>86811611.5116747</v>
      </c>
      <c r="S61" s="262">
        <f>FV(R$2/12,'PFR (LINKED)'!$A72*12,-'PFR (LINKED)'!$F$13,)</f>
        <v>0</v>
      </c>
      <c r="T61" s="262">
        <f t="shared" si="25"/>
        <v>86811611.5116747</v>
      </c>
      <c r="U61" s="261">
        <f>FV($U$2/1,'PFR (LINKED)'!$A72*1,,-'PFR (LINKED)'!$F$12,)</f>
        <v>148162016.631807</v>
      </c>
      <c r="V61" s="262">
        <f>FV(U$2/12,'PFR (LINKED)'!$A72*12,-'PFR (LINKED)'!$F$13,)</f>
        <v>0</v>
      </c>
      <c r="W61" s="262">
        <f t="shared" si="26"/>
        <v>148162016.631807</v>
      </c>
      <c r="X61" s="261">
        <f>FV($X$2/1,'PFR (LINKED)'!$A72*1,,-'PFR (LINKED)'!$F$12,)</f>
        <v>251637718.629272</v>
      </c>
      <c r="Y61" s="262">
        <f>FV(X$2/12,'PFR (LINKED)'!$A72*12,-'PFR (LINKED)'!$F$13,)</f>
        <v>0</v>
      </c>
      <c r="Z61" s="262">
        <f t="shared" si="27"/>
        <v>251637718.629272</v>
      </c>
      <c r="AA61" s="261">
        <f>FV($AA$2/1,'PFR (LINKED)'!$A72*1,,-'PFR (LINKED)'!$F$12,)</f>
        <v>50612653.3623318</v>
      </c>
      <c r="AB61" s="262">
        <f>FV(AA$2/12,'PFR (LINKED)'!$A72*12,-'PFR (LINKED)'!$F$13,)</f>
        <v>0</v>
      </c>
      <c r="AC61" s="262">
        <f t="shared" si="28"/>
        <v>50612653.3623318</v>
      </c>
      <c r="AD61" s="261">
        <f>FV($AD$2/1,'PFR (LINKED)'!$A72*1,,-'PFR (LINKED)'!$F$12,)</f>
        <v>50612653.3623318</v>
      </c>
      <c r="AE61" s="262">
        <f>FV(AD$2/12,'PFR (LINKED)'!$A72*12,-'PFR (LINKED)'!$F$13,)</f>
        <v>0</v>
      </c>
      <c r="AF61" s="262">
        <f t="shared" si="29"/>
        <v>50612653.3623318</v>
      </c>
    </row>
    <row r="62" spans="8:32">
      <c r="H62" s="251">
        <v>59</v>
      </c>
      <c r="I62" s="261">
        <f>FV($I$2/1,'PFR (LINKED)'!$A73*1,,-'PFR (LINKED)'!$F$12,)</f>
        <v>10115026.353897</v>
      </c>
      <c r="J62" s="262">
        <f>FV(I$2/12,'PFR (LINKED)'!$A73*12,-'PFR (LINKED)'!$F$13,)</f>
        <v>0</v>
      </c>
      <c r="K62" s="262">
        <f t="shared" ref="K62:K63" si="30">I62+J62</f>
        <v>10115026.353897</v>
      </c>
      <c r="L62" s="261">
        <f>FV($L$2/1,'PFR (LINKED)'!$A73*1,,-'PFR (LINKED)'!$F$12,)</f>
        <v>17789700.8515457</v>
      </c>
      <c r="M62" s="262">
        <f>FV(L$2/12,'PFR (LINKED)'!$A73*12,-'PFR (LINKED)'!$F$13,)</f>
        <v>0</v>
      </c>
      <c r="N62" s="262">
        <f t="shared" ref="N62:N63" si="31">L62+M62</f>
        <v>17789700.8515457</v>
      </c>
      <c r="O62" s="261">
        <f>FV($O$2/1,'PFR (LINKED)'!$A73*1,,-'PFR (LINKED)'!$F$12,)</f>
        <v>54155539.097695</v>
      </c>
      <c r="P62" s="262">
        <f>FV(O$2/12,'PFR (LINKED)'!$A73*12,-'PFR (LINKED)'!$F$13,)</f>
        <v>0</v>
      </c>
      <c r="Q62" s="262">
        <f t="shared" ref="Q62:Q63" si="32">O62+P62</f>
        <v>54155539.097695</v>
      </c>
      <c r="R62" s="261">
        <f>FV($R$2/1,'PFR (LINKED)'!$A73*1,,-'PFR (LINKED)'!$F$12,)</f>
        <v>93756540.4326087</v>
      </c>
      <c r="S62" s="262">
        <f>FV(R$2/12,'PFR (LINKED)'!$A73*12,-'PFR (LINKED)'!$F$13,)</f>
        <v>0</v>
      </c>
      <c r="T62" s="262">
        <f t="shared" ref="T62:T63" si="33">R62+S62</f>
        <v>93756540.4326087</v>
      </c>
      <c r="U62" s="261">
        <f>FV($U$2/1,'PFR (LINKED)'!$A73*1,,-'PFR (LINKED)'!$F$12,)</f>
        <v>161496598.128669</v>
      </c>
      <c r="V62" s="262">
        <f>FV(U$2/12,'PFR (LINKED)'!$A73*12,-'PFR (LINKED)'!$F$13,)</f>
        <v>0</v>
      </c>
      <c r="W62" s="262">
        <f t="shared" ref="W62:W63" si="34">U62+V62</f>
        <v>161496598.128669</v>
      </c>
      <c r="X62" s="261">
        <f>FV($X$2/1,'PFR (LINKED)'!$A73*1,,-'PFR (LINKED)'!$F$12,)</f>
        <v>276801490.4922</v>
      </c>
      <c r="Y62" s="262">
        <f>FV(X$2/12,'PFR (LINKED)'!$A73*12,-'PFR (LINKED)'!$F$13,)</f>
        <v>0</v>
      </c>
      <c r="Z62" s="262">
        <f t="shared" ref="Z62:Z63" si="35">X62+Y62</f>
        <v>276801490.4922</v>
      </c>
      <c r="AA62" s="261">
        <f>FV($AA$2/1,'PFR (LINKED)'!$A73*1,,-'PFR (LINKED)'!$F$12,)</f>
        <v>54155539.097695</v>
      </c>
      <c r="AB62" s="262">
        <f>FV(AA$2/12,'PFR (LINKED)'!$A73*12,-'PFR (LINKED)'!$F$13,)</f>
        <v>0</v>
      </c>
      <c r="AC62" s="262">
        <f t="shared" ref="AC62:AC63" si="36">AA62+AB62</f>
        <v>54155539.097695</v>
      </c>
      <c r="AD62" s="261">
        <f>FV($AD$2/1,'PFR (LINKED)'!$A73*1,,-'PFR (LINKED)'!$F$12,)</f>
        <v>54155539.097695</v>
      </c>
      <c r="AE62" s="262">
        <f>FV(AD$2/12,'PFR (LINKED)'!$A73*12,-'PFR (LINKED)'!$F$13,)</f>
        <v>0</v>
      </c>
      <c r="AF62" s="262">
        <f t="shared" ref="AF62:AF63" si="37">AD62+AE62</f>
        <v>54155539.097695</v>
      </c>
    </row>
    <row r="63" spans="8:32">
      <c r="H63" s="251">
        <v>60</v>
      </c>
      <c r="I63" s="261">
        <f>FV($I$2/1,'PFR (LINKED)'!$A74*1,,-'PFR (LINKED)'!$F$12,)</f>
        <v>10519627.4080529</v>
      </c>
      <c r="J63" s="262">
        <f>FV(I$2/12,'PFR (LINKED)'!$A74*12,-'PFR (LINKED)'!$F$13,)</f>
        <v>0</v>
      </c>
      <c r="K63" s="262">
        <f t="shared" si="30"/>
        <v>10519627.4080529</v>
      </c>
      <c r="L63" s="261">
        <f>FV($L$2/1,'PFR (LINKED)'!$A74*1,,-'PFR (LINKED)'!$F$12,)</f>
        <v>18679185.894123</v>
      </c>
      <c r="M63" s="262">
        <f>FV(L$2/12,'PFR (LINKED)'!$A74*12,-'PFR (LINKED)'!$F$13,)</f>
        <v>0</v>
      </c>
      <c r="N63" s="262">
        <f t="shared" si="31"/>
        <v>18679185.894123</v>
      </c>
      <c r="O63" s="261">
        <f>FV($O$2/1,'PFR (LINKED)'!$A74*1,,-'PFR (LINKED)'!$F$12,)</f>
        <v>57946426.8345337</v>
      </c>
      <c r="P63" s="262">
        <f>FV(O$2/12,'PFR (LINKED)'!$A74*12,-'PFR (LINKED)'!$F$13,)</f>
        <v>0</v>
      </c>
      <c r="Q63" s="262">
        <f t="shared" si="32"/>
        <v>57946426.8345337</v>
      </c>
      <c r="R63" s="261">
        <f>FV($R$2/1,'PFR (LINKED)'!$A74*1,,-'PFR (LINKED)'!$F$12,)</f>
        <v>101257063.667217</v>
      </c>
      <c r="S63" s="262">
        <f>FV(R$2/12,'PFR (LINKED)'!$A74*12,-'PFR (LINKED)'!$F$13,)</f>
        <v>0</v>
      </c>
      <c r="T63" s="262">
        <f t="shared" si="33"/>
        <v>101257063.667217</v>
      </c>
      <c r="U63" s="261">
        <f>FV($U$2/1,'PFR (LINKED)'!$A74*1,,-'PFR (LINKED)'!$F$12,)</f>
        <v>176031291.96025</v>
      </c>
      <c r="V63" s="262">
        <f>FV(U$2/12,'PFR (LINKED)'!$A74*12,-'PFR (LINKED)'!$F$13,)</f>
        <v>0</v>
      </c>
      <c r="W63" s="262">
        <f t="shared" si="34"/>
        <v>176031291.96025</v>
      </c>
      <c r="X63" s="261">
        <f>FV($X$2/1,'PFR (LINKED)'!$A74*1,,-'PFR (LINKED)'!$F$12,)</f>
        <v>304481639.54142</v>
      </c>
      <c r="Y63" s="262">
        <f>FV(X$2/12,'PFR (LINKED)'!$A74*12,-'PFR (LINKED)'!$F$13,)</f>
        <v>0</v>
      </c>
      <c r="Z63" s="262">
        <f t="shared" si="35"/>
        <v>304481639.54142</v>
      </c>
      <c r="AA63" s="261">
        <f>FV($AA$2/1,'PFR (LINKED)'!$A74*1,,-'PFR (LINKED)'!$F$12,)</f>
        <v>57946426.8345337</v>
      </c>
      <c r="AB63" s="262">
        <f>FV(AA$2/12,'PFR (LINKED)'!$A74*12,-'PFR (LINKED)'!$F$13,)</f>
        <v>0</v>
      </c>
      <c r="AC63" s="262">
        <f t="shared" si="36"/>
        <v>57946426.8345337</v>
      </c>
      <c r="AD63" s="261">
        <f>FV($AD$2/1,'PFR (LINKED)'!$A74*1,,-'PFR (LINKED)'!$F$12,)</f>
        <v>57946426.8345337</v>
      </c>
      <c r="AE63" s="262">
        <f>FV(AD$2/12,'PFR (LINKED)'!$A74*12,-'PFR (LINKED)'!$F$13,)</f>
        <v>0</v>
      </c>
      <c r="AF63" s="262">
        <f t="shared" si="37"/>
        <v>57946426.8345337</v>
      </c>
    </row>
    <row r="64" spans="9:32">
      <c r="I64" s="265"/>
      <c r="J64" s="262"/>
      <c r="K64" s="262"/>
      <c r="L64" s="265"/>
      <c r="M64" s="262"/>
      <c r="N64" s="262"/>
      <c r="O64" s="265"/>
      <c r="P64" s="262"/>
      <c r="Q64" s="262"/>
      <c r="R64" s="265"/>
      <c r="S64" s="262"/>
      <c r="T64" s="262"/>
      <c r="U64" s="265"/>
      <c r="V64" s="262"/>
      <c r="W64" s="262"/>
      <c r="X64" s="265"/>
      <c r="Y64" s="262"/>
      <c r="Z64" s="262"/>
      <c r="AA64" s="265"/>
      <c r="AB64" s="262"/>
      <c r="AC64" s="262"/>
      <c r="AD64" s="265"/>
      <c r="AE64" s="262"/>
      <c r="AF64" s="262"/>
    </row>
  </sheetData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  <pageSetUpPr fitToPage="1"/>
  </sheetPr>
  <dimension ref="A1:AA94"/>
  <sheetViews>
    <sheetView showGridLines="0" workbookViewId="0">
      <pane ySplit="14" topLeftCell="A15" activePane="bottomLeft" state="frozen"/>
      <selection/>
      <selection pane="bottomLeft" activeCell="A1" sqref="A1"/>
    </sheetView>
  </sheetViews>
  <sheetFormatPr defaultColWidth="9" defaultRowHeight="10.2"/>
  <cols>
    <col min="1" max="2" width="6" style="155" customWidth="1"/>
    <col min="3" max="3" width="8.7037037037037" style="155" customWidth="1"/>
    <col min="4" max="4" width="24.1018518518519" style="155" customWidth="1"/>
    <col min="5" max="5" width="0.398148148148148" style="155" customWidth="1"/>
    <col min="6" max="6" width="12" style="155" customWidth="1"/>
    <col min="7" max="7" width="10.3981481481481" style="155" customWidth="1"/>
    <col min="8" max="8" width="5.2037037037037" style="155" customWidth="1"/>
    <col min="9" max="9" width="7.10185185185185" style="155" customWidth="1"/>
    <col min="10" max="13" width="12.8981481481481" style="155" customWidth="1"/>
    <col min="14" max="14" width="12.2962962962963" style="155" customWidth="1"/>
    <col min="15" max="15" width="12.8981481481481" style="155" hidden="1" customWidth="1" outlineLevel="1"/>
    <col min="16" max="16" width="12.2962962962963" style="155" hidden="1" customWidth="1" outlineLevel="1"/>
    <col min="17" max="17" width="1.60185185185185" style="155" customWidth="1"/>
    <col min="18" max="18" width="1.2962962962963" style="155" hidden="1" customWidth="1"/>
    <col min="19" max="19" width="2.39814814814815" style="155" hidden="1" customWidth="1"/>
    <col min="20" max="20" width="20.1018518518519" style="155" hidden="1" customWidth="1"/>
    <col min="21" max="21" width="3.7037037037037" style="155" hidden="1" customWidth="1"/>
    <col min="22" max="22" width="8.2037037037037" style="155" hidden="1" customWidth="1"/>
    <col min="23" max="23" width="8.2962962962963" style="155" hidden="1" customWidth="1"/>
    <col min="24" max="24" width="3.2962962962963" style="155" hidden="1" customWidth="1"/>
    <col min="25" max="25" width="20.7962962962963" style="155" customWidth="1"/>
    <col min="26" max="26" width="3" style="155" customWidth="1"/>
    <col min="27" max="16384" width="8.89814814814815" style="155"/>
  </cols>
  <sheetData>
    <row r="1" ht="11" customHeight="1" spans="1:23">
      <c r="A1" s="156" t="s">
        <v>42</v>
      </c>
      <c r="B1" s="156"/>
      <c r="C1" s="157"/>
      <c r="D1" s="158" t="s">
        <v>43</v>
      </c>
      <c r="E1" s="158"/>
      <c r="J1" s="200" t="s">
        <v>44</v>
      </c>
      <c r="K1" s="201"/>
      <c r="L1" s="202">
        <f>FORM!N13</f>
        <v>0.035</v>
      </c>
      <c r="S1" s="220"/>
      <c r="T1" s="221" t="s">
        <v>45</v>
      </c>
      <c r="U1" s="221"/>
      <c r="V1" s="221"/>
      <c r="W1" s="221"/>
    </row>
    <row r="2" ht="10.75" customHeight="1" spans="2:23">
      <c r="B2" s="159" t="s">
        <v>46</v>
      </c>
      <c r="C2" s="160" t="str">
        <f>CONCATENATE(FORM!C2,"/",FORM!E2,"/",FORM!G2)</f>
        <v>18/3/2025</v>
      </c>
      <c r="D2" s="159" t="s">
        <v>47</v>
      </c>
      <c r="E2" s="159"/>
      <c r="F2" s="161" t="str">
        <f>FORM!C5</f>
        <v>tat</v>
      </c>
      <c r="G2" s="162"/>
      <c r="H2" s="163" t="str">
        <f>FORM!J5</f>
        <v>MR</v>
      </c>
      <c r="J2" s="200" t="s">
        <v>48</v>
      </c>
      <c r="K2" s="203"/>
      <c r="L2" s="204">
        <f>FORM!N12</f>
        <v>0.07</v>
      </c>
      <c r="T2" s="222" t="s">
        <v>49</v>
      </c>
      <c r="V2" s="223" t="s">
        <v>50</v>
      </c>
      <c r="W2" s="224" t="s">
        <v>51</v>
      </c>
    </row>
    <row r="3" spans="3:24">
      <c r="C3" s="164"/>
      <c r="D3" s="159" t="s">
        <v>52</v>
      </c>
      <c r="E3" s="159"/>
      <c r="F3" s="165">
        <f>FORM!C9</f>
        <v>55</v>
      </c>
      <c r="G3" s="166"/>
      <c r="H3" s="167"/>
      <c r="T3" s="155" t="s">
        <v>53</v>
      </c>
      <c r="U3" s="225">
        <v>0.2</v>
      </c>
      <c r="V3" s="226">
        <f>$F$4*0.2</f>
        <v>0</v>
      </c>
      <c r="W3" s="227"/>
      <c r="X3" s="228" t="e">
        <f>W3/V3</f>
        <v>#DIV/0!</v>
      </c>
    </row>
    <row r="4" spans="3:23">
      <c r="C4" s="157"/>
      <c r="D4" s="159" t="s">
        <v>54</v>
      </c>
      <c r="E4" s="159"/>
      <c r="F4" s="168">
        <f>FORM!C10</f>
        <v>0</v>
      </c>
      <c r="G4" s="169"/>
      <c r="H4" s="170"/>
      <c r="S4" s="155" t="s">
        <v>55</v>
      </c>
      <c r="T4" s="225">
        <v>0.1</v>
      </c>
      <c r="U4" s="226">
        <f>$F$4*0.1</f>
        <v>0</v>
      </c>
      <c r="V4" s="227"/>
      <c r="W4" s="228" t="e">
        <f t="shared" ref="W4:W6" si="0">V4/U4</f>
        <v>#DIV/0!</v>
      </c>
    </row>
    <row r="5" ht="10.5" hidden="1" customHeight="1" spans="2:23">
      <c r="B5" s="155">
        <f>VLOOKUP($F$8,$A:$P,2,0)</f>
        <v>60</v>
      </c>
      <c r="C5" s="155">
        <f>VLOOKUP($F$8,$A:$P,3,0)</f>
        <v>60</v>
      </c>
      <c r="D5" s="155">
        <f>VLOOKUP($F$8,$A:$P,4,0)</f>
        <v>2030</v>
      </c>
      <c r="F5" s="171">
        <f>VLOOKUP($F$8,$A:$P,6,0)</f>
        <v>1000000</v>
      </c>
      <c r="G5" s="172"/>
      <c r="H5" s="173">
        <f>VLOOKUP($F$8,$A:$P,7,0)</f>
        <v>0</v>
      </c>
      <c r="I5" s="205"/>
      <c r="J5" s="206">
        <f>VLOOKUP($F$8,$A:$P,9,0)</f>
        <v>0</v>
      </c>
      <c r="K5" s="171">
        <f>VLOOKUP($F$8,$A:$P,10,0)</f>
        <v>1276281.5625</v>
      </c>
      <c r="L5" s="171">
        <f>VLOOKUP($F$8,$A:$P,11,0)</f>
        <v>1402551.7307</v>
      </c>
      <c r="M5" s="171">
        <f>VLOOKUP($F$8,$A:$P,12,0)</f>
        <v>1469328.0768</v>
      </c>
      <c r="N5" s="171">
        <f>VLOOKUP($F$8,$A:$P,13,0)</f>
        <v>1538623.9549</v>
      </c>
      <c r="O5" s="171">
        <f>VLOOKUP($F$8,$A:$P,14,0)</f>
        <v>1610510</v>
      </c>
      <c r="P5" s="171">
        <f>VLOOKUP($F$8,$A:$P,15,0)</f>
        <v>1402551.7307</v>
      </c>
      <c r="T5" s="225"/>
      <c r="U5" s="226"/>
      <c r="V5" s="227"/>
      <c r="W5" s="228"/>
    </row>
    <row r="6" ht="10.5" hidden="1" customHeight="1" spans="3:23">
      <c r="C6" s="157"/>
      <c r="D6" s="159" t="s">
        <v>56</v>
      </c>
      <c r="E6" s="159"/>
      <c r="F6" s="174"/>
      <c r="G6" s="174"/>
      <c r="H6" s="174"/>
      <c r="S6" s="155" t="s">
        <v>57</v>
      </c>
      <c r="T6" s="225">
        <v>0.1</v>
      </c>
      <c r="U6" s="226">
        <f>$F$4*0.1</f>
        <v>0</v>
      </c>
      <c r="V6" s="227"/>
      <c r="W6" s="228" t="e">
        <f t="shared" si="0"/>
        <v>#DIV/0!</v>
      </c>
    </row>
    <row r="7" ht="10.95" spans="3:24">
      <c r="C7" s="157"/>
      <c r="D7" s="159" t="s">
        <v>58</v>
      </c>
      <c r="E7" s="159"/>
      <c r="F7" s="172" t="str">
        <f>FORM!C6</f>
        <v>Passive Retirement Income (20%)</v>
      </c>
      <c r="G7" s="175"/>
      <c r="H7" s="176"/>
      <c r="V7" s="226"/>
      <c r="W7" s="229"/>
      <c r="X7" s="228"/>
    </row>
    <row r="8" spans="3:26">
      <c r="C8" s="157"/>
      <c r="D8" s="159" t="s">
        <v>59</v>
      </c>
      <c r="E8" s="159"/>
      <c r="F8" s="177">
        <f>FORM!C12</f>
        <v>5</v>
      </c>
      <c r="G8" s="178"/>
      <c r="H8" s="179"/>
      <c r="S8" s="230"/>
      <c r="T8" s="222" t="s">
        <v>60</v>
      </c>
      <c r="U8" s="159"/>
      <c r="V8" s="231">
        <f>$F$4*0.6</f>
        <v>0</v>
      </c>
      <c r="W8" s="231">
        <f>SUM(W10:W17)</f>
        <v>1860</v>
      </c>
      <c r="X8" s="228"/>
      <c r="Y8" s="237" t="s">
        <v>61</v>
      </c>
      <c r="Z8" s="238"/>
    </row>
    <row r="9" ht="13.5" customHeight="1" spans="3:27">
      <c r="C9" s="157"/>
      <c r="D9" s="159"/>
      <c r="E9" s="159"/>
      <c r="F9" s="180" t="s">
        <v>62</v>
      </c>
      <c r="G9" s="181" t="s">
        <v>63</v>
      </c>
      <c r="H9" s="182" t="s">
        <v>64</v>
      </c>
      <c r="I9" s="207"/>
      <c r="J9" s="158"/>
      <c r="K9" s="208" t="s">
        <v>65</v>
      </c>
      <c r="S9" s="232"/>
      <c r="T9" s="233"/>
      <c r="U9" s="234"/>
      <c r="V9" s="235">
        <f>$F$4*0.1</f>
        <v>0</v>
      </c>
      <c r="W9" s="235"/>
      <c r="X9" s="228" t="e">
        <f>W8/F4</f>
        <v>#DIV/0!</v>
      </c>
      <c r="Y9" s="237" t="s">
        <v>66</v>
      </c>
      <c r="Z9" s="239"/>
      <c r="AA9" s="240"/>
    </row>
    <row r="10" spans="4:26">
      <c r="D10" s="159" t="str">
        <f>FORM!A13</f>
        <v>Estimated Requirement for Objective (Monthly)  »</v>
      </c>
      <c r="E10" s="159"/>
      <c r="F10" s="183">
        <f>IF(VLOOKUP(D10,LEGEND!D:E,2,0)=1,FORM!$I$13,FORM!$C$13)</f>
        <v>1028571.42857143</v>
      </c>
      <c r="G10" s="183">
        <f>IF(VLOOKUP(D10,LEGEND!D:E,2,0),(F10*L2),H10*12)</f>
        <v>72000</v>
      </c>
      <c r="H10" s="184">
        <f>G10/12</f>
        <v>6000</v>
      </c>
      <c r="I10" s="209"/>
      <c r="J10" s="159"/>
      <c r="K10" s="210">
        <f>FORM!N14</f>
        <v>1221620.20009393</v>
      </c>
      <c r="L10" s="211"/>
      <c r="M10" s="212"/>
      <c r="N10" s="212"/>
      <c r="O10" s="212"/>
      <c r="P10" s="212"/>
      <c r="T10" s="236" t="s">
        <v>67</v>
      </c>
      <c r="V10" s="226"/>
      <c r="W10" s="227">
        <v>800</v>
      </c>
      <c r="X10" s="228"/>
      <c r="Y10" s="237" t="s">
        <v>68</v>
      </c>
      <c r="Z10" s="241"/>
    </row>
    <row r="11" ht="10.5" hidden="1" customHeight="1" spans="3:24">
      <c r="C11" s="157"/>
      <c r="D11" s="159" t="s">
        <v>69</v>
      </c>
      <c r="E11" s="159"/>
      <c r="F11" s="185"/>
      <c r="G11" s="185"/>
      <c r="H11" s="185"/>
      <c r="T11" s="236" t="s">
        <v>70</v>
      </c>
      <c r="V11" s="226"/>
      <c r="W11" s="227">
        <v>120</v>
      </c>
      <c r="X11" s="228"/>
    </row>
    <row r="12" spans="3:24">
      <c r="C12" s="157" t="s">
        <v>71</v>
      </c>
      <c r="D12" s="159" t="s">
        <v>72</v>
      </c>
      <c r="E12" s="159"/>
      <c r="F12" s="186">
        <f>FORM!C18</f>
        <v>1000000</v>
      </c>
      <c r="G12" s="187"/>
      <c r="H12" s="187"/>
      <c r="T12" s="236" t="s">
        <v>73</v>
      </c>
      <c r="V12" s="226"/>
      <c r="W12" s="227">
        <v>90</v>
      </c>
      <c r="X12" s="228"/>
    </row>
    <row r="13" spans="3:24">
      <c r="C13" s="157"/>
      <c r="D13" s="159" t="s">
        <v>74</v>
      </c>
      <c r="E13" s="159"/>
      <c r="F13" s="186">
        <f>FORM!C19</f>
        <v>0</v>
      </c>
      <c r="G13" s="187"/>
      <c r="H13" s="187"/>
      <c r="T13" s="236" t="s">
        <v>75</v>
      </c>
      <c r="V13" s="226"/>
      <c r="W13" s="227"/>
      <c r="X13" s="228"/>
    </row>
    <row r="14" spans="1:24">
      <c r="A14" s="188" t="s">
        <v>76</v>
      </c>
      <c r="B14" s="188" t="s">
        <v>77</v>
      </c>
      <c r="C14" s="188" t="s">
        <v>78</v>
      </c>
      <c r="D14" s="188" t="s">
        <v>79</v>
      </c>
      <c r="E14" s="188"/>
      <c r="F14" s="189" t="s">
        <v>80</v>
      </c>
      <c r="G14" s="190"/>
      <c r="H14" s="191">
        <v>0.04</v>
      </c>
      <c r="I14" s="213"/>
      <c r="J14" s="214">
        <v>0.05</v>
      </c>
      <c r="K14" s="214">
        <v>0.07</v>
      </c>
      <c r="L14" s="214">
        <v>0.08</v>
      </c>
      <c r="M14" s="214">
        <v>0.09</v>
      </c>
      <c r="N14" s="214">
        <v>0.1</v>
      </c>
      <c r="O14" s="214">
        <v>0.07</v>
      </c>
      <c r="P14" s="214">
        <v>0.07</v>
      </c>
      <c r="T14" s="236" t="s">
        <v>81</v>
      </c>
      <c r="V14" s="226"/>
      <c r="W14" s="227">
        <v>200</v>
      </c>
      <c r="X14" s="228"/>
    </row>
    <row r="15" spans="1:24">
      <c r="A15" s="192">
        <v>1</v>
      </c>
      <c r="B15" s="193">
        <f t="shared" ref="B15:B59" si="1">$F$3+A15</f>
        <v>56</v>
      </c>
      <c r="C15" s="194">
        <v>12</v>
      </c>
      <c r="D15" s="195">
        <f t="shared" ref="D15:D59" si="2">YEAR($C$2)+A15</f>
        <v>2026</v>
      </c>
      <c r="E15" s="195"/>
      <c r="F15" s="196">
        <f>F12+(F13*12)</f>
        <v>1000000</v>
      </c>
      <c r="G15" s="197"/>
      <c r="H15" s="198">
        <f>VLOOKUP($A15,LEGEND!$H:$Z,4,0)</f>
        <v>1040000</v>
      </c>
      <c r="I15" s="215"/>
      <c r="J15" s="216">
        <f>VLOOKUP($A15,LEGEND!$H:$Z,7,0)</f>
        <v>1050000</v>
      </c>
      <c r="K15" s="217">
        <f>VLOOKUP($A15,LEGEND!$H:$Z,10,0)</f>
        <v>1070000</v>
      </c>
      <c r="L15" s="217">
        <f>VLOOKUP($A15,LEGEND!$H:$Z,13,0)</f>
        <v>1080000</v>
      </c>
      <c r="M15" s="217">
        <f>VLOOKUP($A15,LEGEND!$H:$AF,16,0)</f>
        <v>1090000</v>
      </c>
      <c r="N15" s="217">
        <f>VLOOKUP($A15,LEGEND!$H:$AF,19,0)</f>
        <v>1100000</v>
      </c>
      <c r="O15" s="217">
        <f>VLOOKUP($A15,LEGEND!$H:$AF,22,0)</f>
        <v>1070000</v>
      </c>
      <c r="P15" s="217">
        <f>VLOOKUP($A15,LEGEND!$H:$AF,25,0)</f>
        <v>1070000</v>
      </c>
      <c r="T15" s="236" t="s">
        <v>82</v>
      </c>
      <c r="V15" s="226"/>
      <c r="W15" s="227">
        <v>150</v>
      </c>
      <c r="X15" s="228"/>
    </row>
    <row r="16" spans="1:24">
      <c r="A16" s="192">
        <v>2</v>
      </c>
      <c r="B16" s="193">
        <f t="shared" si="1"/>
        <v>57</v>
      </c>
      <c r="C16" s="194">
        <v>24</v>
      </c>
      <c r="D16" s="195">
        <f t="shared" si="2"/>
        <v>2027</v>
      </c>
      <c r="E16" s="195"/>
      <c r="F16" s="196">
        <f t="shared" ref="F16:F74" si="3">F15+($F$13*12)</f>
        <v>1000000</v>
      </c>
      <c r="G16" s="197"/>
      <c r="H16" s="198">
        <f>VLOOKUP($A16,LEGEND!$H:$Z,4,0)</f>
        <v>1081600</v>
      </c>
      <c r="I16" s="215"/>
      <c r="J16" s="216">
        <f>VLOOKUP($A16,LEGEND!$H:$Z,7,0)</f>
        <v>1102500</v>
      </c>
      <c r="K16" s="217">
        <f>VLOOKUP($A16,LEGEND!$H:$Z,10,0)</f>
        <v>1144900</v>
      </c>
      <c r="L16" s="217">
        <f>VLOOKUP($A16,LEGEND!$H:$Z,13,0)</f>
        <v>1166400</v>
      </c>
      <c r="M16" s="217">
        <f>VLOOKUP($A16,LEGEND!$H:$Z,16,0)</f>
        <v>1188100</v>
      </c>
      <c r="N16" s="217">
        <f>VLOOKUP($A16,LEGEND!$H:$Z,19,0)</f>
        <v>1210000</v>
      </c>
      <c r="O16" s="217">
        <f>VLOOKUP($A16,LEGEND!$H:$AF,22,0)</f>
        <v>1144900</v>
      </c>
      <c r="P16" s="217">
        <f>VLOOKUP($A16,LEGEND!$H:$AF,25,0)</f>
        <v>1144900</v>
      </c>
      <c r="T16" s="236" t="s">
        <v>83</v>
      </c>
      <c r="V16" s="226"/>
      <c r="W16" s="227">
        <v>300</v>
      </c>
      <c r="X16" s="228"/>
    </row>
    <row r="17" spans="1:24">
      <c r="A17" s="192">
        <v>3</v>
      </c>
      <c r="B17" s="193">
        <f t="shared" si="1"/>
        <v>58</v>
      </c>
      <c r="C17" s="194">
        <v>36</v>
      </c>
      <c r="D17" s="195">
        <f t="shared" si="2"/>
        <v>2028</v>
      </c>
      <c r="E17" s="195"/>
      <c r="F17" s="196">
        <f t="shared" si="3"/>
        <v>1000000</v>
      </c>
      <c r="G17" s="197"/>
      <c r="H17" s="198">
        <f>VLOOKUP($A17,LEGEND!$H:$Z,4,0)</f>
        <v>1124864</v>
      </c>
      <c r="I17" s="215"/>
      <c r="J17" s="216">
        <f>VLOOKUP($A17,LEGEND!$H:$Z,7,0)</f>
        <v>1157625</v>
      </c>
      <c r="K17" s="217">
        <f>VLOOKUP($A17,LEGEND!$H:$Z,10,0)</f>
        <v>1225043</v>
      </c>
      <c r="L17" s="217">
        <f>VLOOKUP($A17,LEGEND!$H:$Z,13,0)</f>
        <v>1259712</v>
      </c>
      <c r="M17" s="217">
        <f>VLOOKUP($A17,LEGEND!$H:$Z,16,0)</f>
        <v>1295029</v>
      </c>
      <c r="N17" s="217">
        <f>VLOOKUP($A17,LEGEND!$H:$Z,19,0)</f>
        <v>1331000</v>
      </c>
      <c r="O17" s="217">
        <f>VLOOKUP($A17,LEGEND!$H:$AF,22,0)</f>
        <v>1225043</v>
      </c>
      <c r="P17" s="217">
        <f>VLOOKUP($A17,LEGEND!$H:$AF,25,0)</f>
        <v>1225043</v>
      </c>
      <c r="T17" s="236" t="s">
        <v>84</v>
      </c>
      <c r="V17" s="226"/>
      <c r="W17" s="227">
        <v>200</v>
      </c>
      <c r="X17" s="228"/>
    </row>
    <row r="18" spans="1:16">
      <c r="A18" s="192">
        <v>4</v>
      </c>
      <c r="B18" s="193">
        <f t="shared" si="1"/>
        <v>59</v>
      </c>
      <c r="C18" s="194">
        <v>48</v>
      </c>
      <c r="D18" s="195">
        <f t="shared" si="2"/>
        <v>2029</v>
      </c>
      <c r="E18" s="195"/>
      <c r="F18" s="196">
        <f t="shared" si="3"/>
        <v>1000000</v>
      </c>
      <c r="G18" s="197"/>
      <c r="H18" s="198">
        <f>VLOOKUP($A18,LEGEND!$H:$Z,4,0)</f>
        <v>1169858.56</v>
      </c>
      <c r="I18" s="215"/>
      <c r="J18" s="216">
        <f>VLOOKUP($A18,LEGEND!$H:$Z,7,0)</f>
        <v>1215506.25</v>
      </c>
      <c r="K18" s="216">
        <f>VLOOKUP($A18,LEGEND!$H:$Z,10,0)</f>
        <v>1310796.01</v>
      </c>
      <c r="L18" s="216">
        <f>VLOOKUP($A18,LEGEND!$H:$Z,13,0)</f>
        <v>1360488.96</v>
      </c>
      <c r="M18" s="216">
        <f>VLOOKUP($A18,LEGEND!$H:$Z,16,0)</f>
        <v>1411581.61</v>
      </c>
      <c r="N18" s="216">
        <f>VLOOKUP($A18,LEGEND!$H:$Z,19,0)</f>
        <v>1464100</v>
      </c>
      <c r="O18" s="216">
        <f>VLOOKUP($A18,LEGEND!$H:$AF,22,0)</f>
        <v>1310796.01</v>
      </c>
      <c r="P18" s="216">
        <f>VLOOKUP($A18,LEGEND!$H:$AF,25,0)</f>
        <v>1310796.01</v>
      </c>
    </row>
    <row r="19" spans="1:16">
      <c r="A19" s="192">
        <v>5</v>
      </c>
      <c r="B19" s="193">
        <f t="shared" si="1"/>
        <v>60</v>
      </c>
      <c r="C19" s="194">
        <v>60</v>
      </c>
      <c r="D19" s="195">
        <f t="shared" si="2"/>
        <v>2030</v>
      </c>
      <c r="E19" s="195"/>
      <c r="F19" s="196">
        <f t="shared" si="3"/>
        <v>1000000</v>
      </c>
      <c r="G19" s="197"/>
      <c r="H19" s="199">
        <f>VLOOKUP($A19,LEGEND!$H:$Z,4,0)</f>
        <v>1216652.9024</v>
      </c>
      <c r="I19" s="218"/>
      <c r="J19" s="216">
        <f>VLOOKUP($A19,LEGEND!$H:$Z,7,0)</f>
        <v>1276281.5625</v>
      </c>
      <c r="K19" s="216">
        <f>VLOOKUP($A19,LEGEND!$H:$Z,10,0)</f>
        <v>1402551.7307</v>
      </c>
      <c r="L19" s="216">
        <f>VLOOKUP($A19,LEGEND!$H:$Z,13,0)</f>
        <v>1469328.0768</v>
      </c>
      <c r="M19" s="216">
        <f>VLOOKUP($A19,LEGEND!$H:$Z,16,0)</f>
        <v>1538623.9549</v>
      </c>
      <c r="N19" s="216">
        <f>VLOOKUP($A19,LEGEND!$H:$Z,19,0)</f>
        <v>1610510</v>
      </c>
      <c r="O19" s="216">
        <f>VLOOKUP($A19,LEGEND!$H:$AF,22,0)</f>
        <v>1402551.7307</v>
      </c>
      <c r="P19" s="216">
        <f>VLOOKUP($A19,LEGEND!$H:$AF,25,0)</f>
        <v>1402551.7307</v>
      </c>
    </row>
    <row r="20" spans="1:16">
      <c r="A20" s="192">
        <v>6</v>
      </c>
      <c r="B20" s="193">
        <f t="shared" si="1"/>
        <v>61</v>
      </c>
      <c r="C20" s="194">
        <v>72</v>
      </c>
      <c r="D20" s="195">
        <f t="shared" si="2"/>
        <v>2031</v>
      </c>
      <c r="E20" s="195"/>
      <c r="F20" s="196">
        <f t="shared" si="3"/>
        <v>1000000</v>
      </c>
      <c r="G20" s="197"/>
      <c r="H20" s="199">
        <f>VLOOKUP($A20,LEGEND!$H:$Z,4,0)</f>
        <v>1265319.018496</v>
      </c>
      <c r="I20" s="218"/>
      <c r="J20" s="216">
        <f>VLOOKUP($A20,LEGEND!$H:$Z,7,0)</f>
        <v>1340095.640625</v>
      </c>
      <c r="K20" s="216">
        <f>VLOOKUP($A20,LEGEND!$H:$Z,10,0)</f>
        <v>1500730.351849</v>
      </c>
      <c r="L20" s="216">
        <f>VLOOKUP($A20,LEGEND!$H:$Z,13,0)</f>
        <v>1586874.322944</v>
      </c>
      <c r="M20" s="216">
        <f>VLOOKUP($A20,LEGEND!$H:$Z,16,0)</f>
        <v>1677100.110841</v>
      </c>
      <c r="N20" s="216">
        <f>VLOOKUP($A20,LEGEND!$H:$Z,19,0)</f>
        <v>1771561</v>
      </c>
      <c r="O20" s="216">
        <f>VLOOKUP($A20,LEGEND!$H:$AF,22,0)</f>
        <v>1500730.351849</v>
      </c>
      <c r="P20" s="216">
        <f>VLOOKUP($A20,LEGEND!$H:$AF,25,0)</f>
        <v>1500730.351849</v>
      </c>
    </row>
    <row r="21" spans="1:16">
      <c r="A21" s="192">
        <v>7</v>
      </c>
      <c r="B21" s="193">
        <f t="shared" si="1"/>
        <v>62</v>
      </c>
      <c r="C21" s="194">
        <v>84</v>
      </c>
      <c r="D21" s="195">
        <f t="shared" si="2"/>
        <v>2032</v>
      </c>
      <c r="E21" s="195"/>
      <c r="F21" s="196">
        <f t="shared" si="3"/>
        <v>1000000</v>
      </c>
      <c r="G21" s="197"/>
      <c r="H21" s="199">
        <f>VLOOKUP($A21,LEGEND!$H:$Z,4,0)</f>
        <v>1315931.77923584</v>
      </c>
      <c r="I21" s="218"/>
      <c r="J21" s="216">
        <f>VLOOKUP($A21,LEGEND!$H:$Z,7,0)</f>
        <v>1407100.42265625</v>
      </c>
      <c r="K21" s="216">
        <f>VLOOKUP($A21,LEGEND!$H:$Z,10,0)</f>
        <v>1605781.47647843</v>
      </c>
      <c r="L21" s="216">
        <f>VLOOKUP($A21,LEGEND!$H:$Z,13,0)</f>
        <v>1713824.26877952</v>
      </c>
      <c r="M21" s="216">
        <f>VLOOKUP($A21,LEGEND!$H:$Z,16,0)</f>
        <v>1828039.12081669</v>
      </c>
      <c r="N21" s="216">
        <f>VLOOKUP($A21,LEGEND!$H:$Z,19,0)</f>
        <v>1948717.1</v>
      </c>
      <c r="O21" s="216">
        <f>VLOOKUP($A21,LEGEND!$H:$AF,22,0)</f>
        <v>1605781.47647843</v>
      </c>
      <c r="P21" s="216">
        <f>VLOOKUP($A21,LEGEND!$H:$AF,25,0)</f>
        <v>1605781.47647843</v>
      </c>
    </row>
    <row r="22" spans="1:16">
      <c r="A22" s="192">
        <v>8</v>
      </c>
      <c r="B22" s="193">
        <f t="shared" si="1"/>
        <v>63</v>
      </c>
      <c r="C22" s="194">
        <v>96</v>
      </c>
      <c r="D22" s="195">
        <f t="shared" si="2"/>
        <v>2033</v>
      </c>
      <c r="E22" s="195"/>
      <c r="F22" s="196">
        <f t="shared" si="3"/>
        <v>1000000</v>
      </c>
      <c r="G22" s="197"/>
      <c r="H22" s="199">
        <f>VLOOKUP($A22,LEGEND!$H:$Z,4,0)</f>
        <v>1368569.05040527</v>
      </c>
      <c r="I22" s="218"/>
      <c r="J22" s="216">
        <f>VLOOKUP($A22,LEGEND!$H:$Z,7,0)</f>
        <v>1477455.44378906</v>
      </c>
      <c r="K22" s="216">
        <f>VLOOKUP($A22,LEGEND!$H:$Z,10,0)</f>
        <v>1718186.17983192</v>
      </c>
      <c r="L22" s="216">
        <f>VLOOKUP($A22,LEGEND!$H:$Z,13,0)</f>
        <v>1850930.21028188</v>
      </c>
      <c r="M22" s="216">
        <f>VLOOKUP($A22,LEGEND!$H:$Z,16,0)</f>
        <v>1992562.64169019</v>
      </c>
      <c r="N22" s="216">
        <f>VLOOKUP($A22,LEGEND!$H:$Z,19,0)</f>
        <v>2143588.81</v>
      </c>
      <c r="O22" s="216">
        <f>VLOOKUP($A22,LEGEND!$H:$AF,22,0)</f>
        <v>1718186.17983192</v>
      </c>
      <c r="P22" s="216">
        <f>VLOOKUP($A22,LEGEND!$H:$AF,25,0)</f>
        <v>1718186.17983192</v>
      </c>
    </row>
    <row r="23" spans="1:16">
      <c r="A23" s="192">
        <v>9</v>
      </c>
      <c r="B23" s="193">
        <f t="shared" si="1"/>
        <v>64</v>
      </c>
      <c r="C23" s="194">
        <v>108</v>
      </c>
      <c r="D23" s="195">
        <f t="shared" si="2"/>
        <v>2034</v>
      </c>
      <c r="E23" s="195"/>
      <c r="F23" s="196">
        <f t="shared" si="3"/>
        <v>1000000</v>
      </c>
      <c r="G23" s="197"/>
      <c r="H23" s="199">
        <f>VLOOKUP($A23,LEGEND!$H:$Z,4,0)</f>
        <v>1423311.81242149</v>
      </c>
      <c r="I23" s="218"/>
      <c r="J23" s="216">
        <f>VLOOKUP($A23,LEGEND!$H:$Z,7,0)</f>
        <v>1551328.21597852</v>
      </c>
      <c r="K23" s="216">
        <f>VLOOKUP($A23,LEGEND!$H:$Z,10,0)</f>
        <v>1838459.21242016</v>
      </c>
      <c r="L23" s="216">
        <f>VLOOKUP($A23,LEGEND!$H:$Z,13,0)</f>
        <v>1999004.62710443</v>
      </c>
      <c r="M23" s="216">
        <f>VLOOKUP($A23,LEGEND!$H:$Z,16,0)</f>
        <v>2171893.27944231</v>
      </c>
      <c r="N23" s="216">
        <f>VLOOKUP($A23,LEGEND!$H:$Z,19,0)</f>
        <v>2357947.691</v>
      </c>
      <c r="O23" s="216">
        <f>VLOOKUP($A23,LEGEND!$H:$AF,22,0)</f>
        <v>1838459.21242016</v>
      </c>
      <c r="P23" s="216">
        <f>VLOOKUP($A23,LEGEND!$H:$AF,25,0)</f>
        <v>1838459.21242016</v>
      </c>
    </row>
    <row r="24" spans="1:16">
      <c r="A24" s="192">
        <v>10</v>
      </c>
      <c r="B24" s="193">
        <f t="shared" si="1"/>
        <v>65</v>
      </c>
      <c r="C24" s="194">
        <v>120</v>
      </c>
      <c r="D24" s="195">
        <f t="shared" si="2"/>
        <v>2035</v>
      </c>
      <c r="E24" s="195"/>
      <c r="F24" s="196">
        <f t="shared" si="3"/>
        <v>1000000</v>
      </c>
      <c r="G24" s="197"/>
      <c r="H24" s="199">
        <f>VLOOKUP($A24,LEGEND!$H:$Z,4,0)</f>
        <v>1480244.28491834</v>
      </c>
      <c r="I24" s="218"/>
      <c r="J24" s="216">
        <f>VLOOKUP($A24,LEGEND!$H:$Z,7,0)</f>
        <v>1628894.62677744</v>
      </c>
      <c r="K24" s="216">
        <f>VLOOKUP($A24,LEGEND!$H:$Z,10,0)</f>
        <v>1967151.35728957</v>
      </c>
      <c r="L24" s="216">
        <f>VLOOKUP($A24,LEGEND!$H:$Z,13,0)</f>
        <v>2158924.99727279</v>
      </c>
      <c r="M24" s="216">
        <f>VLOOKUP($A24,LEGEND!$H:$Z,16,0)</f>
        <v>2367363.67459212</v>
      </c>
      <c r="N24" s="216">
        <f>VLOOKUP($A24,LEGEND!$H:$Z,19,0)</f>
        <v>2593742.4601</v>
      </c>
      <c r="O24" s="216">
        <f>VLOOKUP($A24,LEGEND!$H:$AF,22,0)</f>
        <v>1967151.35728957</v>
      </c>
      <c r="P24" s="216">
        <f>VLOOKUP($A24,LEGEND!$H:$AF,25,0)</f>
        <v>1967151.35728957</v>
      </c>
    </row>
    <row r="25" spans="1:16">
      <c r="A25" s="192">
        <v>11</v>
      </c>
      <c r="B25" s="193">
        <f t="shared" si="1"/>
        <v>66</v>
      </c>
      <c r="C25" s="194">
        <v>132</v>
      </c>
      <c r="D25" s="195">
        <f t="shared" si="2"/>
        <v>2036</v>
      </c>
      <c r="E25" s="195"/>
      <c r="F25" s="196">
        <f t="shared" si="3"/>
        <v>1000000</v>
      </c>
      <c r="G25" s="197"/>
      <c r="H25" s="199">
        <f>VLOOKUP($A25,LEGEND!$H:$Z,4,0)</f>
        <v>1539454.05631508</v>
      </c>
      <c r="I25" s="218"/>
      <c r="J25" s="216">
        <f>VLOOKUP($A25,LEGEND!$H:$Z,7,0)</f>
        <v>1710339.35811631</v>
      </c>
      <c r="K25" s="216">
        <f>VLOOKUP($A25,LEGEND!$H:$Z,10,0)</f>
        <v>2104851.95229984</v>
      </c>
      <c r="L25" s="216">
        <f>VLOOKUP($A25,LEGEND!$H:$Z,13,0)</f>
        <v>2331638.99705461</v>
      </c>
      <c r="M25" s="216">
        <f>VLOOKUP($A25,LEGEND!$H:$Z,16,0)</f>
        <v>2580426.40530541</v>
      </c>
      <c r="N25" s="216">
        <f>VLOOKUP($A25,LEGEND!$H:$Z,19,0)</f>
        <v>2853116.70611</v>
      </c>
      <c r="O25" s="216">
        <f>VLOOKUP($A25,LEGEND!$H:$AF,22,0)</f>
        <v>2104851.95229984</v>
      </c>
      <c r="P25" s="216">
        <f>VLOOKUP($A25,LEGEND!$H:$AF,25,0)</f>
        <v>2104851.95229984</v>
      </c>
    </row>
    <row r="26" spans="1:16">
      <c r="A26" s="192">
        <v>12</v>
      </c>
      <c r="B26" s="193">
        <f t="shared" si="1"/>
        <v>67</v>
      </c>
      <c r="C26" s="194">
        <v>144</v>
      </c>
      <c r="D26" s="195">
        <f t="shared" si="2"/>
        <v>2037</v>
      </c>
      <c r="E26" s="195"/>
      <c r="F26" s="196">
        <f t="shared" si="3"/>
        <v>1000000</v>
      </c>
      <c r="G26" s="197"/>
      <c r="H26" s="199">
        <f>VLOOKUP($A26,LEGEND!$H:$Z,4,0)</f>
        <v>1601032.21856768</v>
      </c>
      <c r="I26" s="218"/>
      <c r="J26" s="216">
        <f>VLOOKUP($A26,LEGEND!$H:$Z,7,0)</f>
        <v>1795856.32602213</v>
      </c>
      <c r="K26" s="216">
        <f>VLOOKUP($A26,LEGEND!$H:$Z,10,0)</f>
        <v>2252191.58896083</v>
      </c>
      <c r="L26" s="216">
        <f>VLOOKUP($A26,LEGEND!$H:$Z,13,0)</f>
        <v>2518170.11681898</v>
      </c>
      <c r="M26" s="216">
        <f>VLOOKUP($A26,LEGEND!$H:$Z,16,0)</f>
        <v>2812664.7817829</v>
      </c>
      <c r="N26" s="216">
        <f>VLOOKUP($A26,LEGEND!$H:$Z,19,0)</f>
        <v>3138428.376721</v>
      </c>
      <c r="O26" s="216">
        <f>VLOOKUP($A26,LEGEND!$H:$AF,22,0)</f>
        <v>2252191.58896083</v>
      </c>
      <c r="P26" s="216">
        <f>VLOOKUP($A26,LEGEND!$H:$AF,25,0)</f>
        <v>2252191.58896083</v>
      </c>
    </row>
    <row r="27" spans="1:16">
      <c r="A27" s="192">
        <v>13</v>
      </c>
      <c r="B27" s="192">
        <f t="shared" si="1"/>
        <v>68</v>
      </c>
      <c r="C27" s="194">
        <v>156</v>
      </c>
      <c r="D27" s="195">
        <f t="shared" si="2"/>
        <v>2038</v>
      </c>
      <c r="E27" s="195"/>
      <c r="F27" s="196">
        <f t="shared" si="3"/>
        <v>1000000</v>
      </c>
      <c r="G27" s="197"/>
      <c r="H27" s="199">
        <f>VLOOKUP($A27,LEGEND!$H:$Z,4,0)</f>
        <v>1665073.50731039</v>
      </c>
      <c r="I27" s="218"/>
      <c r="J27" s="216">
        <f>VLOOKUP($A27,LEGEND!$H:$Z,7,0)</f>
        <v>1885649.14232324</v>
      </c>
      <c r="K27" s="216">
        <f>VLOOKUP($A27,LEGEND!$H:$Z,10,0)</f>
        <v>2409845.00018808</v>
      </c>
      <c r="L27" s="216">
        <f>VLOOKUP($A27,LEGEND!$H:$Z,13,0)</f>
        <v>2719623.7261645</v>
      </c>
      <c r="M27" s="216">
        <f>VLOOKUP($A27,LEGEND!$H:$Z,16,0)</f>
        <v>3065804.61214336</v>
      </c>
      <c r="N27" s="216">
        <f>VLOOKUP($A27,LEGEND!$H:$Z,19,0)</f>
        <v>3452271.2143931</v>
      </c>
      <c r="O27" s="216">
        <f>VLOOKUP($A27,LEGEND!$H:$AF,22,0)</f>
        <v>2409845.00018808</v>
      </c>
      <c r="P27" s="216">
        <f>VLOOKUP($A27,LEGEND!$H:$AF,25,0)</f>
        <v>2409845.00018808</v>
      </c>
    </row>
    <row r="28" spans="1:16">
      <c r="A28" s="192">
        <v>14</v>
      </c>
      <c r="B28" s="192">
        <f t="shared" si="1"/>
        <v>69</v>
      </c>
      <c r="C28" s="194">
        <v>168</v>
      </c>
      <c r="D28" s="195">
        <f t="shared" si="2"/>
        <v>2039</v>
      </c>
      <c r="E28" s="195"/>
      <c r="F28" s="196">
        <f t="shared" si="3"/>
        <v>1000000</v>
      </c>
      <c r="G28" s="197"/>
      <c r="H28" s="199">
        <f>VLOOKUP($A28,LEGEND!$H:$Z,4,0)</f>
        <v>1731676.4476028</v>
      </c>
      <c r="I28" s="218"/>
      <c r="J28" s="216">
        <f>VLOOKUP($A28,LEGEND!$H:$Z,7,0)</f>
        <v>1979931.5994394</v>
      </c>
      <c r="K28" s="216">
        <f>VLOOKUP($A28,LEGEND!$H:$Z,10,0)</f>
        <v>2578534.15020125</v>
      </c>
      <c r="L28" s="216">
        <f>VLOOKUP($A28,LEGEND!$H:$Z,13,0)</f>
        <v>2937193.62425766</v>
      </c>
      <c r="M28" s="216">
        <f>VLOOKUP($A28,LEGEND!$H:$Z,16,0)</f>
        <v>3341727.02723626</v>
      </c>
      <c r="N28" s="216">
        <f>VLOOKUP($A28,LEGEND!$H:$Z,19,0)</f>
        <v>3797498.33583241</v>
      </c>
      <c r="O28" s="216">
        <f>VLOOKUP($A28,LEGEND!$H:$AF,22,0)</f>
        <v>2578534.15020125</v>
      </c>
      <c r="P28" s="216">
        <f>VLOOKUP($A28,LEGEND!$H:$AF,25,0)</f>
        <v>2578534.15020125</v>
      </c>
    </row>
    <row r="29" spans="1:16">
      <c r="A29" s="192">
        <v>15</v>
      </c>
      <c r="B29" s="192">
        <f t="shared" si="1"/>
        <v>70</v>
      </c>
      <c r="C29" s="194">
        <v>180</v>
      </c>
      <c r="D29" s="195">
        <f t="shared" si="2"/>
        <v>2040</v>
      </c>
      <c r="E29" s="195"/>
      <c r="F29" s="196">
        <f t="shared" si="3"/>
        <v>1000000</v>
      </c>
      <c r="G29" s="197"/>
      <c r="H29" s="199">
        <f>VLOOKUP($A29,LEGEND!$H:$Z,4,0)</f>
        <v>1800943.50550692</v>
      </c>
      <c r="I29" s="218"/>
      <c r="J29" s="216">
        <f>VLOOKUP($A29,LEGEND!$H:$Z,7,0)</f>
        <v>2078928.17941137</v>
      </c>
      <c r="K29" s="216">
        <f>VLOOKUP($A29,LEGEND!$H:$Z,10,0)</f>
        <v>2759031.54071534</v>
      </c>
      <c r="L29" s="216">
        <f>VLOOKUP($A29,LEGEND!$H:$Z,13,0)</f>
        <v>3172169.11419827</v>
      </c>
      <c r="M29" s="216">
        <f>VLOOKUP($A29,LEGEND!$H:$Z,16,0)</f>
        <v>3642482.45968752</v>
      </c>
      <c r="N29" s="216">
        <f>VLOOKUP($A29,LEGEND!$H:$Z,19,0)</f>
        <v>4177248.16941566</v>
      </c>
      <c r="O29" s="216">
        <f>VLOOKUP($A29,LEGEND!$H:$AF,22,0)</f>
        <v>2759031.54071534</v>
      </c>
      <c r="P29" s="216">
        <f>VLOOKUP($A29,LEGEND!$H:$AF,25,0)</f>
        <v>2759031.54071534</v>
      </c>
    </row>
    <row r="30" spans="1:16">
      <c r="A30" s="192">
        <v>16</v>
      </c>
      <c r="B30" s="192">
        <f t="shared" si="1"/>
        <v>71</v>
      </c>
      <c r="C30" s="194">
        <v>192</v>
      </c>
      <c r="D30" s="195">
        <f t="shared" si="2"/>
        <v>2041</v>
      </c>
      <c r="E30" s="195"/>
      <c r="F30" s="196">
        <f t="shared" si="3"/>
        <v>1000000</v>
      </c>
      <c r="G30" s="197"/>
      <c r="H30" s="199">
        <f>VLOOKUP($A30,LEGEND!$H:$Z,4,0)</f>
        <v>1872981.24572719</v>
      </c>
      <c r="I30" s="218"/>
      <c r="J30" s="216">
        <f>VLOOKUP($A30,LEGEND!$H:$Z,7,0)</f>
        <v>2182874.58838194</v>
      </c>
      <c r="K30" s="216">
        <f>VLOOKUP($A30,LEGEND!$H:$Z,10,0)</f>
        <v>2952163.74856541</v>
      </c>
      <c r="L30" s="216">
        <f>VLOOKUP($A30,LEGEND!$H:$Z,13,0)</f>
        <v>3425942.64333413</v>
      </c>
      <c r="M30" s="216">
        <f>VLOOKUP($A30,LEGEND!$H:$Z,16,0)</f>
        <v>3970305.8810594</v>
      </c>
      <c r="N30" s="216">
        <f>VLOOKUP($A30,LEGEND!$H:$Z,19,0)</f>
        <v>4594972.98635722</v>
      </c>
      <c r="O30" s="216">
        <f>VLOOKUP($A30,LEGEND!$H:$AF,22,0)</f>
        <v>2952163.74856541</v>
      </c>
      <c r="P30" s="216">
        <f>VLOOKUP($A30,LEGEND!$H:$AF,25,0)</f>
        <v>2952163.74856541</v>
      </c>
    </row>
    <row r="31" spans="1:16">
      <c r="A31" s="192">
        <v>17</v>
      </c>
      <c r="B31" s="192">
        <f t="shared" si="1"/>
        <v>72</v>
      </c>
      <c r="C31" s="194">
        <v>204</v>
      </c>
      <c r="D31" s="195">
        <f t="shared" si="2"/>
        <v>2042</v>
      </c>
      <c r="E31" s="195"/>
      <c r="F31" s="196">
        <f t="shared" si="3"/>
        <v>1000000</v>
      </c>
      <c r="G31" s="197"/>
      <c r="H31" s="199">
        <f>VLOOKUP($A31,LEGEND!$H:$Z,4,0)</f>
        <v>1947900.49555628</v>
      </c>
      <c r="I31" s="218"/>
      <c r="J31" s="216">
        <f>VLOOKUP($A31,LEGEND!$H:$Z,7,0)</f>
        <v>2292018.31780103</v>
      </c>
      <c r="K31" s="216">
        <f>VLOOKUP($A31,LEGEND!$H:$Z,10,0)</f>
        <v>3158815.21096499</v>
      </c>
      <c r="L31" s="216">
        <f>VLOOKUP($A31,LEGEND!$H:$Z,13,0)</f>
        <v>3700018.05480087</v>
      </c>
      <c r="M31" s="216">
        <f>VLOOKUP($A31,LEGEND!$H:$Z,16,0)</f>
        <v>4327633.41035475</v>
      </c>
      <c r="N31" s="216">
        <f>VLOOKUP($A31,LEGEND!$H:$Z,19,0)</f>
        <v>5054470.28499295</v>
      </c>
      <c r="O31" s="216">
        <f>VLOOKUP($A31,LEGEND!$H:$AF,22,0)</f>
        <v>3158815.21096499</v>
      </c>
      <c r="P31" s="216">
        <f>VLOOKUP($A31,LEGEND!$H:$AF,25,0)</f>
        <v>3158815.21096499</v>
      </c>
    </row>
    <row r="32" spans="1:16">
      <c r="A32" s="192">
        <v>18</v>
      </c>
      <c r="B32" s="192">
        <f t="shared" si="1"/>
        <v>73</v>
      </c>
      <c r="C32" s="194">
        <v>216</v>
      </c>
      <c r="D32" s="195">
        <f t="shared" si="2"/>
        <v>2043</v>
      </c>
      <c r="E32" s="195"/>
      <c r="F32" s="196">
        <f t="shared" si="3"/>
        <v>1000000</v>
      </c>
      <c r="G32" s="197"/>
      <c r="H32" s="199">
        <f>VLOOKUP($A32,LEGEND!$H:$Z,4,0)</f>
        <v>2025816.51537853</v>
      </c>
      <c r="I32" s="218"/>
      <c r="J32" s="216">
        <f>VLOOKUP($A32,LEGEND!$H:$Z,7,0)</f>
        <v>2406619.23369109</v>
      </c>
      <c r="K32" s="216">
        <f>VLOOKUP($A32,LEGEND!$H:$Z,10,0)</f>
        <v>3379932.27573254</v>
      </c>
      <c r="L32" s="216">
        <f>VLOOKUP($A32,LEGEND!$H:$Z,13,0)</f>
        <v>3996019.49918493</v>
      </c>
      <c r="M32" s="216">
        <f>VLOOKUP($A32,LEGEND!$H:$Z,16,0)</f>
        <v>4717120.41728668</v>
      </c>
      <c r="N32" s="216">
        <f>VLOOKUP($A32,LEGEND!$H:$Z,19,0)</f>
        <v>5559917.31349224</v>
      </c>
      <c r="O32" s="216">
        <f>VLOOKUP($A32,LEGEND!$H:$AF,22,0)</f>
        <v>3379932.27573254</v>
      </c>
      <c r="P32" s="216">
        <f>VLOOKUP($A32,LEGEND!$H:$AF,25,0)</f>
        <v>3379932.27573254</v>
      </c>
    </row>
    <row r="33" spans="1:16">
      <c r="A33" s="192">
        <v>19</v>
      </c>
      <c r="B33" s="192">
        <f t="shared" si="1"/>
        <v>74</v>
      </c>
      <c r="C33" s="194">
        <v>228</v>
      </c>
      <c r="D33" s="195">
        <f t="shared" si="2"/>
        <v>2044</v>
      </c>
      <c r="E33" s="195"/>
      <c r="F33" s="196">
        <f t="shared" si="3"/>
        <v>1000000</v>
      </c>
      <c r="G33" s="197"/>
      <c r="H33" s="199">
        <f>VLOOKUP($A33,LEGEND!$H:$Z,4,0)</f>
        <v>2106849.17599367</v>
      </c>
      <c r="I33" s="218"/>
      <c r="J33" s="216">
        <f>VLOOKUP($A33,LEGEND!$H:$Z,7,0)</f>
        <v>2526950.19537564</v>
      </c>
      <c r="K33" s="216">
        <f>VLOOKUP($A33,LEGEND!$H:$Z,10,0)</f>
        <v>3616527.53503382</v>
      </c>
      <c r="L33" s="216">
        <f>VLOOKUP($A33,LEGEND!$H:$Z,13,0)</f>
        <v>4315701.05911973</v>
      </c>
      <c r="M33" s="216">
        <f>VLOOKUP($A33,LEGEND!$H:$Z,16,0)</f>
        <v>5141661.25484248</v>
      </c>
      <c r="N33" s="216">
        <f>VLOOKUP($A33,LEGEND!$H:$Z,19,0)</f>
        <v>6115909.04484146</v>
      </c>
      <c r="O33" s="216">
        <f>VLOOKUP($A33,LEGEND!$H:$AF,22,0)</f>
        <v>3616527.53503382</v>
      </c>
      <c r="P33" s="216">
        <f>VLOOKUP($A33,LEGEND!$H:$AF,25,0)</f>
        <v>3616527.53503382</v>
      </c>
    </row>
    <row r="34" spans="1:16">
      <c r="A34" s="192">
        <v>20</v>
      </c>
      <c r="B34" s="192">
        <f t="shared" si="1"/>
        <v>75</v>
      </c>
      <c r="C34" s="194">
        <v>240</v>
      </c>
      <c r="D34" s="195">
        <f t="shared" si="2"/>
        <v>2045</v>
      </c>
      <c r="E34" s="195"/>
      <c r="F34" s="196">
        <f t="shared" si="3"/>
        <v>1000000</v>
      </c>
      <c r="G34" s="197"/>
      <c r="H34" s="199">
        <f>VLOOKUP($A34,LEGEND!$H:$Z,4,0)</f>
        <v>2191123.14303342</v>
      </c>
      <c r="I34" s="218"/>
      <c r="J34" s="216">
        <f>VLOOKUP($A34,LEGEND!$H:$Z,7,0)</f>
        <v>2653297.70514442</v>
      </c>
      <c r="K34" s="216">
        <f>VLOOKUP($A34,LEGEND!$H:$Z,10,0)</f>
        <v>3869684.46248618</v>
      </c>
      <c r="L34" s="216">
        <f>VLOOKUP($A34,LEGEND!$H:$Z,13,0)</f>
        <v>4660957.14384931</v>
      </c>
      <c r="M34" s="216">
        <f>VLOOKUP($A34,LEGEND!$H:$Z,16,0)</f>
        <v>5604410.7677783</v>
      </c>
      <c r="N34" s="216">
        <f>VLOOKUP($A34,LEGEND!$H:$Z,19,0)</f>
        <v>6727499.94932561</v>
      </c>
      <c r="O34" s="216">
        <f>VLOOKUP($A34,LEGEND!$H:$AF,22,0)</f>
        <v>3869684.46248618</v>
      </c>
      <c r="P34" s="216">
        <f>VLOOKUP($A34,LEGEND!$H:$AF,25,0)</f>
        <v>3869684.46248618</v>
      </c>
    </row>
    <row r="35" spans="1:16">
      <c r="A35" s="192">
        <v>21</v>
      </c>
      <c r="B35" s="192">
        <f t="shared" si="1"/>
        <v>76</v>
      </c>
      <c r="C35" s="194">
        <v>252</v>
      </c>
      <c r="D35" s="195">
        <f t="shared" si="2"/>
        <v>2046</v>
      </c>
      <c r="E35" s="195"/>
      <c r="F35" s="196">
        <f t="shared" si="3"/>
        <v>1000000</v>
      </c>
      <c r="G35" s="197"/>
      <c r="H35" s="199">
        <f>VLOOKUP($A35,LEGEND!$H:$Z,4,0)</f>
        <v>2278768.06875476</v>
      </c>
      <c r="I35" s="218"/>
      <c r="J35" s="216">
        <f>VLOOKUP($A35,LEGEND!$H:$Z,7,0)</f>
        <v>2785962.59040164</v>
      </c>
      <c r="K35" s="216">
        <f>VLOOKUP($A35,LEGEND!$H:$Z,10,0)</f>
        <v>4140562.37486022</v>
      </c>
      <c r="L35" s="216">
        <f>VLOOKUP($A35,LEGEND!$H:$Z,13,0)</f>
        <v>5033833.71535725</v>
      </c>
      <c r="M35" s="216">
        <f>VLOOKUP($A35,LEGEND!$H:$Z,16,0)</f>
        <v>6108807.73687835</v>
      </c>
      <c r="N35" s="216">
        <f>VLOOKUP($A35,LEGEND!$H:$Z,19,0)</f>
        <v>7400249.94425817</v>
      </c>
      <c r="O35" s="216">
        <f>VLOOKUP($A35,LEGEND!$H:$AF,22,0)</f>
        <v>4140562.37486022</v>
      </c>
      <c r="P35" s="216">
        <f>VLOOKUP($A35,LEGEND!$H:$AF,25,0)</f>
        <v>4140562.37486022</v>
      </c>
    </row>
    <row r="36" spans="1:16">
      <c r="A36" s="192">
        <v>22</v>
      </c>
      <c r="B36" s="192">
        <f t="shared" si="1"/>
        <v>77</v>
      </c>
      <c r="C36" s="194">
        <v>264</v>
      </c>
      <c r="D36" s="195">
        <f t="shared" si="2"/>
        <v>2047</v>
      </c>
      <c r="E36" s="195"/>
      <c r="F36" s="196">
        <f t="shared" si="3"/>
        <v>1000000</v>
      </c>
      <c r="G36" s="197"/>
      <c r="H36" s="199">
        <f>VLOOKUP($A36,LEGEND!$H:$Z,4,0)</f>
        <v>2369918.79150495</v>
      </c>
      <c r="I36" s="218"/>
      <c r="J36" s="216">
        <f>VLOOKUP($A36,LEGEND!$H:$Z,7,0)</f>
        <v>2925260.71992173</v>
      </c>
      <c r="K36" s="216">
        <f>VLOOKUP($A36,LEGEND!$H:$Z,10,0)</f>
        <v>4430401.74110043</v>
      </c>
      <c r="L36" s="216">
        <f>VLOOKUP($A36,LEGEND!$H:$Z,13,0)</f>
        <v>5436540.41258583</v>
      </c>
      <c r="M36" s="216">
        <f>VLOOKUP($A36,LEGEND!$H:$Z,16,0)</f>
        <v>6658600.4331974</v>
      </c>
      <c r="N36" s="216">
        <f>VLOOKUP($A36,LEGEND!$H:$Z,19,0)</f>
        <v>8140274.93868399</v>
      </c>
      <c r="O36" s="216">
        <f>VLOOKUP($A36,LEGEND!$H:$AF,22,0)</f>
        <v>4430401.74110043</v>
      </c>
      <c r="P36" s="216">
        <f>VLOOKUP($A36,LEGEND!$H:$AF,25,0)</f>
        <v>4430401.74110043</v>
      </c>
    </row>
    <row r="37" spans="1:16">
      <c r="A37" s="192">
        <v>23</v>
      </c>
      <c r="B37" s="192">
        <f t="shared" si="1"/>
        <v>78</v>
      </c>
      <c r="C37" s="194">
        <v>276</v>
      </c>
      <c r="D37" s="195">
        <f t="shared" si="2"/>
        <v>2048</v>
      </c>
      <c r="E37" s="195"/>
      <c r="F37" s="196">
        <f t="shared" si="3"/>
        <v>1000000</v>
      </c>
      <c r="G37" s="197"/>
      <c r="H37" s="199">
        <f>VLOOKUP($A37,LEGEND!$H:$Z,4,0)</f>
        <v>2464715.54316515</v>
      </c>
      <c r="I37" s="218"/>
      <c r="J37" s="216">
        <f>VLOOKUP($A37,LEGEND!$H:$Z,7,0)</f>
        <v>3071523.75591781</v>
      </c>
      <c r="K37" s="216">
        <f>VLOOKUP($A37,LEGEND!$H:$Z,10,0)</f>
        <v>4740529.86297746</v>
      </c>
      <c r="L37" s="216">
        <f>VLOOKUP($A37,LEGEND!$H:$Z,13,0)</f>
        <v>5871463.6455927</v>
      </c>
      <c r="M37" s="216">
        <f>VLOOKUP($A37,LEGEND!$H:$Z,16,0)</f>
        <v>7257874.47218517</v>
      </c>
      <c r="N37" s="216">
        <f>VLOOKUP($A37,LEGEND!$H:$Z,19,0)</f>
        <v>8954302.43255239</v>
      </c>
      <c r="O37" s="216">
        <f>VLOOKUP($A37,LEGEND!$H:$AF,22,0)</f>
        <v>4740529.86297746</v>
      </c>
      <c r="P37" s="216">
        <f>VLOOKUP($A37,LEGEND!$H:$AF,25,0)</f>
        <v>4740529.86297746</v>
      </c>
    </row>
    <row r="38" spans="1:16">
      <c r="A38" s="192">
        <v>24</v>
      </c>
      <c r="B38" s="192">
        <f t="shared" si="1"/>
        <v>79</v>
      </c>
      <c r="C38" s="194">
        <v>288</v>
      </c>
      <c r="D38" s="195">
        <f t="shared" si="2"/>
        <v>2049</v>
      </c>
      <c r="E38" s="195"/>
      <c r="F38" s="196">
        <f t="shared" si="3"/>
        <v>1000000</v>
      </c>
      <c r="G38" s="197"/>
      <c r="H38" s="199">
        <f>VLOOKUP($A38,LEGEND!$H:$Z,4,0)</f>
        <v>2563304.16489175</v>
      </c>
      <c r="I38" s="218"/>
      <c r="J38" s="216">
        <f>VLOOKUP($A38,LEGEND!$H:$Z,7,0)</f>
        <v>3225099.9437137</v>
      </c>
      <c r="K38" s="216">
        <f>VLOOKUP($A38,LEGEND!$H:$Z,10,0)</f>
        <v>5072366.95338589</v>
      </c>
      <c r="L38" s="216">
        <f>VLOOKUP($A38,LEGEND!$H:$Z,13,0)</f>
        <v>6341180.73724012</v>
      </c>
      <c r="M38" s="216">
        <f>VLOOKUP($A38,LEGEND!$H:$Z,16,0)</f>
        <v>7911083.17468183</v>
      </c>
      <c r="N38" s="216">
        <f>VLOOKUP($A38,LEGEND!$H:$Z,19,0)</f>
        <v>9849732.67580763</v>
      </c>
      <c r="O38" s="216">
        <f>VLOOKUP($A38,LEGEND!$H:$AF,22,0)</f>
        <v>5072366.95338589</v>
      </c>
      <c r="P38" s="216">
        <f>VLOOKUP($A38,LEGEND!$H:$AF,25,0)</f>
        <v>5072366.95338589</v>
      </c>
    </row>
    <row r="39" spans="1:16">
      <c r="A39" s="192">
        <v>25</v>
      </c>
      <c r="B39" s="192">
        <f t="shared" si="1"/>
        <v>80</v>
      </c>
      <c r="C39" s="194">
        <v>300</v>
      </c>
      <c r="D39" s="195">
        <f t="shared" si="2"/>
        <v>2050</v>
      </c>
      <c r="E39" s="195"/>
      <c r="F39" s="196">
        <f t="shared" si="3"/>
        <v>1000000</v>
      </c>
      <c r="G39" s="197"/>
      <c r="H39" s="199">
        <f>VLOOKUP($A39,LEGEND!$H:$Z,4,0)</f>
        <v>2665836.33148742</v>
      </c>
      <c r="I39" s="218"/>
      <c r="J39" s="216">
        <f>VLOOKUP($A39,LEGEND!$H:$Z,7,0)</f>
        <v>3386354.94089939</v>
      </c>
      <c r="K39" s="216">
        <f>VLOOKUP($A39,LEGEND!$H:$Z,10,0)</f>
        <v>5427432.6401229</v>
      </c>
      <c r="L39" s="216">
        <f>VLOOKUP($A39,LEGEND!$H:$Z,13,0)</f>
        <v>6848475.19621933</v>
      </c>
      <c r="M39" s="216">
        <f>VLOOKUP($A39,LEGEND!$H:$Z,16,0)</f>
        <v>8623080.6604032</v>
      </c>
      <c r="N39" s="216">
        <f>VLOOKUP($A39,LEGEND!$H:$Z,19,0)</f>
        <v>10834705.9433884</v>
      </c>
      <c r="O39" s="216">
        <f>VLOOKUP($A39,LEGEND!$H:$AF,22,0)</f>
        <v>5427432.6401229</v>
      </c>
      <c r="P39" s="216">
        <f>VLOOKUP($A39,LEGEND!$H:$AF,25,0)</f>
        <v>5427432.6401229</v>
      </c>
    </row>
    <row r="40" spans="1:16">
      <c r="A40" s="192">
        <v>26</v>
      </c>
      <c r="B40" s="192">
        <f t="shared" si="1"/>
        <v>81</v>
      </c>
      <c r="C40" s="194">
        <v>312</v>
      </c>
      <c r="D40" s="195">
        <f t="shared" si="2"/>
        <v>2051</v>
      </c>
      <c r="E40" s="195"/>
      <c r="F40" s="196">
        <f t="shared" si="3"/>
        <v>1000000</v>
      </c>
      <c r="G40" s="197"/>
      <c r="H40" s="199">
        <f>VLOOKUP($A40,LEGEND!$H:$Z,4,0)</f>
        <v>2772469.78474692</v>
      </c>
      <c r="I40" s="218"/>
      <c r="J40" s="216">
        <f>VLOOKUP($A40,LEGEND!$H:$Z,7,0)</f>
        <v>3555672.68794436</v>
      </c>
      <c r="K40" s="216">
        <f>VLOOKUP($A40,LEGEND!$H:$Z,10,0)</f>
        <v>5807352.9249315</v>
      </c>
      <c r="L40" s="216">
        <f>VLOOKUP($A40,LEGEND!$H:$Z,13,0)</f>
        <v>7396353.21191687</v>
      </c>
      <c r="M40" s="216">
        <f>VLOOKUP($A40,LEGEND!$H:$Z,16,0)</f>
        <v>9399157.91983948</v>
      </c>
      <c r="N40" s="216">
        <f>VLOOKUP($A40,LEGEND!$H:$Z,19,0)</f>
        <v>11918176.5377272</v>
      </c>
      <c r="O40" s="216">
        <f>VLOOKUP($A40,LEGEND!$H:$AF,22,0)</f>
        <v>5807352.9249315</v>
      </c>
      <c r="P40" s="216">
        <f>VLOOKUP($A40,LEGEND!$H:$AF,25,0)</f>
        <v>5807352.9249315</v>
      </c>
    </row>
    <row r="41" spans="1:16">
      <c r="A41" s="192">
        <v>27</v>
      </c>
      <c r="B41" s="192">
        <f t="shared" si="1"/>
        <v>82</v>
      </c>
      <c r="C41" s="194">
        <v>324</v>
      </c>
      <c r="D41" s="195">
        <f t="shared" si="2"/>
        <v>2052</v>
      </c>
      <c r="E41" s="195"/>
      <c r="F41" s="196">
        <f t="shared" si="3"/>
        <v>1000000</v>
      </c>
      <c r="G41" s="197"/>
      <c r="H41" s="199">
        <f>VLOOKUP($A41,LEGEND!$H:$Z,4,0)</f>
        <v>2883368.5761368</v>
      </c>
      <c r="I41" s="218"/>
      <c r="J41" s="216">
        <f>VLOOKUP($A41,LEGEND!$H:$Z,7,0)</f>
        <v>3733456.32234158</v>
      </c>
      <c r="K41" s="216">
        <f>VLOOKUP($A41,LEGEND!$H:$Z,10,0)</f>
        <v>6213867.62967671</v>
      </c>
      <c r="L41" s="216">
        <f>VLOOKUP($A41,LEGEND!$H:$Z,13,0)</f>
        <v>7988061.46887022</v>
      </c>
      <c r="M41" s="216">
        <f>VLOOKUP($A41,LEGEND!$H:$Z,16,0)</f>
        <v>10245082.132625</v>
      </c>
      <c r="N41" s="216">
        <f>VLOOKUP($A41,LEGEND!$H:$Z,19,0)</f>
        <v>13109994.1915</v>
      </c>
      <c r="O41" s="216">
        <f>VLOOKUP($A41,LEGEND!$H:$AF,22,0)</f>
        <v>6213867.62967671</v>
      </c>
      <c r="P41" s="216">
        <f>VLOOKUP($A41,LEGEND!$H:$AF,25,0)</f>
        <v>6213867.62967671</v>
      </c>
    </row>
    <row r="42" spans="1:16">
      <c r="A42" s="192">
        <v>28</v>
      </c>
      <c r="B42" s="192">
        <f t="shared" si="1"/>
        <v>83</v>
      </c>
      <c r="C42" s="194">
        <v>336</v>
      </c>
      <c r="D42" s="195">
        <f t="shared" si="2"/>
        <v>2053</v>
      </c>
      <c r="E42" s="195"/>
      <c r="F42" s="196">
        <f t="shared" si="3"/>
        <v>1000000</v>
      </c>
      <c r="G42" s="197"/>
      <c r="H42" s="199">
        <f>VLOOKUP($A42,LEGEND!$H:$Z,4,0)</f>
        <v>2998703.31918227</v>
      </c>
      <c r="I42" s="218"/>
      <c r="J42" s="216">
        <f>VLOOKUP($A42,LEGEND!$H:$Z,7,0)</f>
        <v>3920129.13845865</v>
      </c>
      <c r="K42" s="216">
        <f>VLOOKUP($A42,LEGEND!$H:$Z,10,0)</f>
        <v>6648838.36375408</v>
      </c>
      <c r="L42" s="216">
        <f>VLOOKUP($A42,LEGEND!$H:$Z,13,0)</f>
        <v>8627106.38637984</v>
      </c>
      <c r="M42" s="216">
        <f>VLOOKUP($A42,LEGEND!$H:$Z,16,0)</f>
        <v>11167139.5245613</v>
      </c>
      <c r="N42" s="216">
        <f>VLOOKUP($A42,LEGEND!$H:$Z,19,0)</f>
        <v>14420993.61065</v>
      </c>
      <c r="O42" s="216">
        <f>VLOOKUP($A42,LEGEND!$H:$AF,22,0)</f>
        <v>6648838.36375408</v>
      </c>
      <c r="P42" s="216">
        <f>VLOOKUP($A42,LEGEND!$H:$AF,25,0)</f>
        <v>6648838.36375408</v>
      </c>
    </row>
    <row r="43" spans="1:16">
      <c r="A43" s="192">
        <v>29</v>
      </c>
      <c r="B43" s="192">
        <f t="shared" si="1"/>
        <v>84</v>
      </c>
      <c r="C43" s="194">
        <v>348</v>
      </c>
      <c r="D43" s="195">
        <f t="shared" si="2"/>
        <v>2054</v>
      </c>
      <c r="E43" s="195"/>
      <c r="F43" s="196">
        <f t="shared" si="3"/>
        <v>1000000</v>
      </c>
      <c r="G43" s="197"/>
      <c r="H43" s="199">
        <f>VLOOKUP($A43,LEGEND!$H:$Z,4,0)</f>
        <v>3118651.45194956</v>
      </c>
      <c r="I43" s="218"/>
      <c r="J43" s="216">
        <f>VLOOKUP($A43,LEGEND!$H:$Z,7,0)</f>
        <v>4116135.59538159</v>
      </c>
      <c r="K43" s="216">
        <f>VLOOKUP($A43,LEGEND!$H:$Z,10,0)</f>
        <v>7114257.04921686</v>
      </c>
      <c r="L43" s="216">
        <f>VLOOKUP($A43,LEGEND!$H:$Z,13,0)</f>
        <v>9317274.89729023</v>
      </c>
      <c r="M43" s="216">
        <f>VLOOKUP($A43,LEGEND!$H:$Z,16,0)</f>
        <v>12172182.0817718</v>
      </c>
      <c r="N43" s="216">
        <f>VLOOKUP($A43,LEGEND!$H:$Z,19,0)</f>
        <v>15863092.971715</v>
      </c>
      <c r="O43" s="216">
        <f>VLOOKUP($A43,LEGEND!$H:$AF,22,0)</f>
        <v>7114257.04921686</v>
      </c>
      <c r="P43" s="216">
        <f>VLOOKUP($A43,LEGEND!$H:$AF,25,0)</f>
        <v>7114257.04921686</v>
      </c>
    </row>
    <row r="44" spans="1:16">
      <c r="A44" s="192">
        <v>30</v>
      </c>
      <c r="B44" s="192">
        <f t="shared" si="1"/>
        <v>85</v>
      </c>
      <c r="C44" s="194">
        <v>360</v>
      </c>
      <c r="D44" s="195">
        <f t="shared" si="2"/>
        <v>2055</v>
      </c>
      <c r="E44" s="195"/>
      <c r="F44" s="196">
        <f t="shared" si="3"/>
        <v>1000000</v>
      </c>
      <c r="G44" s="197"/>
      <c r="H44" s="199">
        <f>VLOOKUP($A44,LEGEND!$H:$Z,4,0)</f>
        <v>3243397.51002754</v>
      </c>
      <c r="I44" s="218"/>
      <c r="J44" s="216">
        <f>VLOOKUP($A44,LEGEND!$H:$Z,7,0)</f>
        <v>4321942.37515067</v>
      </c>
      <c r="K44" s="216">
        <f>VLOOKUP($A44,LEGEND!$H:$Z,10,0)</f>
        <v>7612255.04266204</v>
      </c>
      <c r="L44" s="216">
        <f>VLOOKUP($A44,LEGEND!$H:$Z,13,0)</f>
        <v>10062656.8890735</v>
      </c>
      <c r="M44" s="216">
        <f>VLOOKUP($A44,LEGEND!$H:$Z,16,0)</f>
        <v>13267678.4691313</v>
      </c>
      <c r="N44" s="216">
        <f>VLOOKUP($A44,LEGEND!$H:$Z,19,0)</f>
        <v>17449402.2688864</v>
      </c>
      <c r="O44" s="216">
        <f>VLOOKUP($A44,LEGEND!$H:$AF,22,0)</f>
        <v>7612255.04266204</v>
      </c>
      <c r="P44" s="216">
        <f>VLOOKUP($A44,LEGEND!$H:$AF,25,0)</f>
        <v>7612255.04266204</v>
      </c>
    </row>
    <row r="45" spans="1:16">
      <c r="A45" s="192">
        <v>31</v>
      </c>
      <c r="B45" s="192">
        <f t="shared" si="1"/>
        <v>86</v>
      </c>
      <c r="C45" s="194">
        <v>372</v>
      </c>
      <c r="D45" s="195">
        <f t="shared" si="2"/>
        <v>2056</v>
      </c>
      <c r="E45" s="195"/>
      <c r="F45" s="196">
        <f t="shared" si="3"/>
        <v>1000000</v>
      </c>
      <c r="G45" s="197"/>
      <c r="H45" s="199">
        <f>VLOOKUP($A45,LEGEND!$H:$Z,4,0)</f>
        <v>3373133.41042864</v>
      </c>
      <c r="I45" s="218"/>
      <c r="J45" s="216">
        <f>VLOOKUP($A45,LEGEND!$H:$Z,7,0)</f>
        <v>4538039.4939082</v>
      </c>
      <c r="K45" s="216">
        <f>VLOOKUP($A45,LEGEND!$H:$Z,10,0)</f>
        <v>8145112.89564839</v>
      </c>
      <c r="L45" s="216">
        <f>VLOOKUP($A45,LEGEND!$H:$Z,13,0)</f>
        <v>10867669.4401993</v>
      </c>
      <c r="M45" s="216">
        <f>VLOOKUP($A45,LEGEND!$H:$Z,16,0)</f>
        <v>14461769.5313531</v>
      </c>
      <c r="N45" s="216">
        <f>VLOOKUP($A45,LEGEND!$H:$Z,19,0)</f>
        <v>19194342.4957751</v>
      </c>
      <c r="O45" s="216">
        <f>VLOOKUP($A45,LEGEND!$H:$AF,22,0)</f>
        <v>8145112.89564839</v>
      </c>
      <c r="P45" s="216">
        <f>VLOOKUP($A45,LEGEND!$H:$AF,25,0)</f>
        <v>8145112.89564839</v>
      </c>
    </row>
    <row r="46" spans="1:16">
      <c r="A46" s="192">
        <v>32</v>
      </c>
      <c r="B46" s="192">
        <f t="shared" si="1"/>
        <v>87</v>
      </c>
      <c r="C46" s="194">
        <v>384</v>
      </c>
      <c r="D46" s="195">
        <f t="shared" si="2"/>
        <v>2057</v>
      </c>
      <c r="E46" s="195"/>
      <c r="F46" s="196">
        <f t="shared" si="3"/>
        <v>1000000</v>
      </c>
      <c r="G46" s="197"/>
      <c r="H46" s="199">
        <f>VLOOKUP($A46,LEGEND!$H:$Z,4,0)</f>
        <v>3508058.74684579</v>
      </c>
      <c r="I46" s="218"/>
      <c r="J46" s="216">
        <f>VLOOKUP($A46,LEGEND!$H:$Z,7,0)</f>
        <v>4764941.46860361</v>
      </c>
      <c r="K46" s="216">
        <f>VLOOKUP($A46,LEGEND!$H:$Z,10,0)</f>
        <v>8715270.79834377</v>
      </c>
      <c r="L46" s="216">
        <f>VLOOKUP($A46,LEGEND!$H:$Z,13,0)</f>
        <v>11737082.9954153</v>
      </c>
      <c r="M46" s="216">
        <f>VLOOKUP($A46,LEGEND!$H:$Z,16,0)</f>
        <v>15763328.7891749</v>
      </c>
      <c r="N46" s="216">
        <f>VLOOKUP($A46,LEGEND!$H:$Z,19,0)</f>
        <v>21113776.7453526</v>
      </c>
      <c r="O46" s="216">
        <f>VLOOKUP($A46,LEGEND!$H:$AF,22,0)</f>
        <v>8715270.79834377</v>
      </c>
      <c r="P46" s="216">
        <f>VLOOKUP($A46,LEGEND!$H:$AF,25,0)</f>
        <v>8715270.79834377</v>
      </c>
    </row>
    <row r="47" spans="1:16">
      <c r="A47" s="192">
        <v>33</v>
      </c>
      <c r="B47" s="192">
        <f t="shared" si="1"/>
        <v>88</v>
      </c>
      <c r="C47" s="194">
        <v>396</v>
      </c>
      <c r="D47" s="195">
        <f t="shared" si="2"/>
        <v>2058</v>
      </c>
      <c r="E47" s="195"/>
      <c r="F47" s="196">
        <f t="shared" si="3"/>
        <v>1000000</v>
      </c>
      <c r="G47" s="197"/>
      <c r="H47" s="199">
        <f>VLOOKUP($A47,LEGEND!$H:$Z,4,0)</f>
        <v>3648381.09671962</v>
      </c>
      <c r="I47" s="218"/>
      <c r="J47" s="216">
        <f>VLOOKUP($A47,LEGEND!$H:$Z,7,0)</f>
        <v>5003188.54203379</v>
      </c>
      <c r="K47" s="216">
        <f>VLOOKUP($A47,LEGEND!$H:$Z,10,0)</f>
        <v>9325339.75422784</v>
      </c>
      <c r="L47" s="216">
        <f>VLOOKUP($A47,LEGEND!$H:$Z,13,0)</f>
        <v>12676049.6350485</v>
      </c>
      <c r="M47" s="216">
        <f>VLOOKUP($A47,LEGEND!$H:$Z,16,0)</f>
        <v>17182028.3802006</v>
      </c>
      <c r="N47" s="216">
        <f>VLOOKUP($A47,LEGEND!$H:$Z,19,0)</f>
        <v>23225154.4198879</v>
      </c>
      <c r="O47" s="216">
        <f>VLOOKUP($A47,LEGEND!$H:$AF,22,0)</f>
        <v>9325339.75422784</v>
      </c>
      <c r="P47" s="216">
        <f>VLOOKUP($A47,LEGEND!$H:$AF,25,0)</f>
        <v>9325339.75422784</v>
      </c>
    </row>
    <row r="48" spans="1:16">
      <c r="A48" s="192">
        <v>34</v>
      </c>
      <c r="B48" s="192">
        <f t="shared" si="1"/>
        <v>89</v>
      </c>
      <c r="C48" s="194">
        <v>408</v>
      </c>
      <c r="D48" s="195">
        <f t="shared" si="2"/>
        <v>2059</v>
      </c>
      <c r="E48" s="195"/>
      <c r="F48" s="196">
        <f t="shared" si="3"/>
        <v>1000000</v>
      </c>
      <c r="G48" s="197"/>
      <c r="H48" s="199">
        <f>VLOOKUP($A48,LEGEND!$H:$Z,4,0)</f>
        <v>3794316.34058841</v>
      </c>
      <c r="I48" s="218"/>
      <c r="J48" s="216">
        <f>VLOOKUP($A48,LEGEND!$H:$Z,7,0)</f>
        <v>5253347.96913548</v>
      </c>
      <c r="K48" s="216">
        <f>VLOOKUP($A48,LEGEND!$H:$Z,10,0)</f>
        <v>9978113.53702379</v>
      </c>
      <c r="L48" s="216">
        <f>VLOOKUP($A48,LEGEND!$H:$Z,13,0)</f>
        <v>13690133.6058524</v>
      </c>
      <c r="M48" s="216">
        <f>VLOOKUP($A48,LEGEND!$H:$Z,16,0)</f>
        <v>18728410.9344187</v>
      </c>
      <c r="N48" s="216">
        <f>VLOOKUP($A48,LEGEND!$H:$Z,19,0)</f>
        <v>25547669.8618767</v>
      </c>
      <c r="O48" s="216">
        <f>VLOOKUP($A48,LEGEND!$H:$AF,22,0)</f>
        <v>9978113.53702379</v>
      </c>
      <c r="P48" s="216">
        <f>VLOOKUP($A48,LEGEND!$H:$AF,25,0)</f>
        <v>9978113.53702379</v>
      </c>
    </row>
    <row r="49" spans="1:16">
      <c r="A49" s="192">
        <v>35</v>
      </c>
      <c r="B49" s="192">
        <f t="shared" si="1"/>
        <v>90</v>
      </c>
      <c r="C49" s="194">
        <v>420</v>
      </c>
      <c r="D49" s="195">
        <f t="shared" si="2"/>
        <v>2060</v>
      </c>
      <c r="E49" s="195"/>
      <c r="F49" s="196">
        <f t="shared" si="3"/>
        <v>1000000</v>
      </c>
      <c r="G49" s="197"/>
      <c r="H49" s="199">
        <f>VLOOKUP($A49,LEGEND!$H:$Z,4,0)</f>
        <v>3946088.99421194</v>
      </c>
      <c r="I49" s="218"/>
      <c r="J49" s="216">
        <f>VLOOKUP($A49,LEGEND!$H:$Z,7,0)</f>
        <v>5516015.36759226</v>
      </c>
      <c r="K49" s="216">
        <f>VLOOKUP($A49,LEGEND!$H:$Z,10,0)</f>
        <v>10676581.4846155</v>
      </c>
      <c r="L49" s="216">
        <f>VLOOKUP($A49,LEGEND!$H:$Z,13,0)</f>
        <v>14785344.2943206</v>
      </c>
      <c r="M49" s="216">
        <f>VLOOKUP($A49,LEGEND!$H:$Z,16,0)</f>
        <v>20413967.9185163</v>
      </c>
      <c r="N49" s="216">
        <f>VLOOKUP($A49,LEGEND!$H:$Z,19,0)</f>
        <v>28102436.8480643</v>
      </c>
      <c r="O49" s="216">
        <f>VLOOKUP($A49,LEGEND!$H:$AF,22,0)</f>
        <v>10676581.4846155</v>
      </c>
      <c r="P49" s="216">
        <f>VLOOKUP($A49,LEGEND!$H:$AF,25,0)</f>
        <v>10676581.4846155</v>
      </c>
    </row>
    <row r="50" spans="1:16">
      <c r="A50" s="192">
        <v>36</v>
      </c>
      <c r="B50" s="192">
        <f t="shared" si="1"/>
        <v>91</v>
      </c>
      <c r="C50" s="194">
        <v>432</v>
      </c>
      <c r="D50" s="195">
        <f t="shared" si="2"/>
        <v>2061</v>
      </c>
      <c r="E50" s="195"/>
      <c r="F50" s="196">
        <f t="shared" si="3"/>
        <v>1000000</v>
      </c>
      <c r="G50" s="197"/>
      <c r="H50" s="199">
        <f>VLOOKUP($A50,LEGEND!$H:$Z,4,0)</f>
        <v>4103932.55398042</v>
      </c>
      <c r="I50" s="218"/>
      <c r="J50" s="216">
        <f>VLOOKUP($A50,LEGEND!$H:$Z,7,0)</f>
        <v>5791816.13597187</v>
      </c>
      <c r="K50" s="216">
        <f>VLOOKUP($A50,LEGEND!$H:$Z,10,0)</f>
        <v>11423942.1885385</v>
      </c>
      <c r="L50" s="216">
        <f>VLOOKUP($A50,LEGEND!$H:$Z,13,0)</f>
        <v>15968171.8378662</v>
      </c>
      <c r="M50" s="216">
        <f>VLOOKUP($A50,LEGEND!$H:$Z,16,0)</f>
        <v>22251225.0311828</v>
      </c>
      <c r="N50" s="216">
        <f>VLOOKUP($A50,LEGEND!$H:$Z,19,0)</f>
        <v>30912680.5328708</v>
      </c>
      <c r="O50" s="216">
        <f>VLOOKUP($A50,LEGEND!$H:$AF,22,0)</f>
        <v>11423942.1885385</v>
      </c>
      <c r="P50" s="216">
        <f>VLOOKUP($A50,LEGEND!$H:$AF,25,0)</f>
        <v>11423942.1885385</v>
      </c>
    </row>
    <row r="51" spans="1:16">
      <c r="A51" s="192">
        <v>37</v>
      </c>
      <c r="B51" s="192">
        <f t="shared" si="1"/>
        <v>92</v>
      </c>
      <c r="C51" s="194">
        <v>444</v>
      </c>
      <c r="D51" s="195">
        <f t="shared" si="2"/>
        <v>2062</v>
      </c>
      <c r="E51" s="195"/>
      <c r="F51" s="196">
        <f t="shared" si="3"/>
        <v>1000000</v>
      </c>
      <c r="G51" s="197"/>
      <c r="H51" s="199">
        <f>VLOOKUP($A51,LEGEND!$H:$Z,4,0)</f>
        <v>4268089.85613964</v>
      </c>
      <c r="I51" s="218"/>
      <c r="J51" s="216">
        <f>VLOOKUP($A51,LEGEND!$H:$Z,7,0)</f>
        <v>6081406.94277046</v>
      </c>
      <c r="K51" s="216">
        <f>VLOOKUP($A51,LEGEND!$H:$Z,10,0)</f>
        <v>12223618.1417362</v>
      </c>
      <c r="L51" s="216">
        <f>VLOOKUP($A51,LEGEND!$H:$Z,13,0)</f>
        <v>17245625.5848955</v>
      </c>
      <c r="M51" s="216">
        <f>VLOOKUP($A51,LEGEND!$H:$Z,16,0)</f>
        <v>24253835.2839893</v>
      </c>
      <c r="N51" s="216">
        <f>VLOOKUP($A51,LEGEND!$H:$Z,19,0)</f>
        <v>34003948.5861578</v>
      </c>
      <c r="O51" s="216">
        <f>VLOOKUP($A51,LEGEND!$H:$AF,22,0)</f>
        <v>12223618.1417362</v>
      </c>
      <c r="P51" s="216">
        <f>VLOOKUP($A51,LEGEND!$H:$AF,25,0)</f>
        <v>12223618.1417362</v>
      </c>
    </row>
    <row r="52" spans="1:16">
      <c r="A52" s="192">
        <v>38</v>
      </c>
      <c r="B52" s="192">
        <f t="shared" si="1"/>
        <v>93</v>
      </c>
      <c r="C52" s="194">
        <v>456</v>
      </c>
      <c r="D52" s="195">
        <f t="shared" si="2"/>
        <v>2063</v>
      </c>
      <c r="E52" s="195"/>
      <c r="F52" s="196">
        <f t="shared" si="3"/>
        <v>1000000</v>
      </c>
      <c r="G52" s="197"/>
      <c r="H52" s="199">
        <f>VLOOKUP($A52,LEGEND!$H:$Z,4,0)</f>
        <v>4438813.45038522</v>
      </c>
      <c r="I52" s="218"/>
      <c r="J52" s="216">
        <f>VLOOKUP($A52,LEGEND!$H:$Z,7,0)</f>
        <v>6385477.28990899</v>
      </c>
      <c r="K52" s="216">
        <f>VLOOKUP($A52,LEGEND!$H:$Z,10,0)</f>
        <v>13079271.4116578</v>
      </c>
      <c r="L52" s="216">
        <f>VLOOKUP($A52,LEGEND!$H:$Z,13,0)</f>
        <v>18625275.6316872</v>
      </c>
      <c r="M52" s="216">
        <f>VLOOKUP($A52,LEGEND!$H:$Z,16,0)</f>
        <v>26436680.4595483</v>
      </c>
      <c r="N52" s="216">
        <f>VLOOKUP($A52,LEGEND!$H:$Z,19,0)</f>
        <v>37404343.4447736</v>
      </c>
      <c r="O52" s="216">
        <f>VLOOKUP($A52,LEGEND!$H:$AF,22,0)</f>
        <v>13079271.4116578</v>
      </c>
      <c r="P52" s="216">
        <f>VLOOKUP($A52,LEGEND!$H:$AF,25,0)</f>
        <v>13079271.4116578</v>
      </c>
    </row>
    <row r="53" spans="1:16">
      <c r="A53" s="192">
        <v>39</v>
      </c>
      <c r="B53" s="192">
        <f t="shared" si="1"/>
        <v>94</v>
      </c>
      <c r="C53" s="194">
        <v>468</v>
      </c>
      <c r="D53" s="195">
        <f t="shared" si="2"/>
        <v>2064</v>
      </c>
      <c r="E53" s="195"/>
      <c r="F53" s="196">
        <f t="shared" si="3"/>
        <v>1000000</v>
      </c>
      <c r="G53" s="197"/>
      <c r="H53" s="199">
        <f>VLOOKUP($A53,LEGEND!$H:$Z,4,0)</f>
        <v>4616365.98840063</v>
      </c>
      <c r="I53" s="218"/>
      <c r="J53" s="216">
        <f>VLOOKUP($A53,LEGEND!$H:$Z,7,0)</f>
        <v>6704751.15440444</v>
      </c>
      <c r="K53" s="216">
        <f>VLOOKUP($A53,LEGEND!$H:$Z,10,0)</f>
        <v>13994820.4104738</v>
      </c>
      <c r="L53" s="216">
        <f>VLOOKUP($A53,LEGEND!$H:$Z,13,0)</f>
        <v>20115297.6822221</v>
      </c>
      <c r="M53" s="216">
        <f>VLOOKUP($A53,LEGEND!$H:$Z,16,0)</f>
        <v>28815981.7009077</v>
      </c>
      <c r="N53" s="216">
        <f>VLOOKUP($A53,LEGEND!$H:$Z,19,0)</f>
        <v>41144777.789251</v>
      </c>
      <c r="O53" s="216">
        <f>VLOOKUP($A53,LEGEND!$H:$AF,22,0)</f>
        <v>13994820.4104738</v>
      </c>
      <c r="P53" s="216">
        <f>VLOOKUP($A53,LEGEND!$H:$AF,25,0)</f>
        <v>13994820.4104738</v>
      </c>
    </row>
    <row r="54" spans="1:16">
      <c r="A54" s="192">
        <v>40</v>
      </c>
      <c r="B54" s="192">
        <f t="shared" si="1"/>
        <v>95</v>
      </c>
      <c r="C54" s="194">
        <v>480</v>
      </c>
      <c r="D54" s="195">
        <f t="shared" si="2"/>
        <v>2065</v>
      </c>
      <c r="E54" s="195"/>
      <c r="F54" s="196">
        <f t="shared" si="3"/>
        <v>1000000</v>
      </c>
      <c r="G54" s="197"/>
      <c r="H54" s="199">
        <f>VLOOKUP($A54,LEGEND!$H:$Z,4,0)</f>
        <v>4801020.62793666</v>
      </c>
      <c r="I54" s="218"/>
      <c r="J54" s="216">
        <f>VLOOKUP($A54,LEGEND!$H:$Z,7,0)</f>
        <v>7039988.71212466</v>
      </c>
      <c r="K54" s="216">
        <f>VLOOKUP($A54,LEGEND!$H:$Z,10,0)</f>
        <v>14974457.839207</v>
      </c>
      <c r="L54" s="216">
        <f>VLOOKUP($A54,LEGEND!$H:$Z,13,0)</f>
        <v>21724521.4967999</v>
      </c>
      <c r="M54" s="216">
        <f>VLOOKUP($A54,LEGEND!$H:$Z,16,0)</f>
        <v>31409420.0539894</v>
      </c>
      <c r="N54" s="216">
        <f>VLOOKUP($A54,LEGEND!$H:$Z,19,0)</f>
        <v>45259255.5681761</v>
      </c>
      <c r="O54" s="216">
        <f>VLOOKUP($A54,LEGEND!$H:$AF,22,0)</f>
        <v>14974457.839207</v>
      </c>
      <c r="P54" s="216">
        <f>VLOOKUP($A54,LEGEND!$H:$AF,25,0)</f>
        <v>14974457.839207</v>
      </c>
    </row>
    <row r="55" spans="1:16">
      <c r="A55" s="192">
        <v>41</v>
      </c>
      <c r="B55" s="192">
        <f t="shared" si="1"/>
        <v>96</v>
      </c>
      <c r="C55" s="194">
        <v>492</v>
      </c>
      <c r="D55" s="195">
        <f t="shared" si="2"/>
        <v>2066</v>
      </c>
      <c r="E55" s="195"/>
      <c r="F55" s="196">
        <f t="shared" si="3"/>
        <v>1000000</v>
      </c>
      <c r="G55" s="197"/>
      <c r="H55" s="199">
        <f>VLOOKUP($A55,LEGEND!$H:$Z,4,0)</f>
        <v>4993061.45305412</v>
      </c>
      <c r="I55" s="218"/>
      <c r="J55" s="216">
        <f>VLOOKUP($A55,LEGEND!$H:$Z,7,0)</f>
        <v>7391988.14773089</v>
      </c>
      <c r="K55" s="216">
        <f>VLOOKUP($A55,LEGEND!$H:$Z,10,0)</f>
        <v>16022669.8879515</v>
      </c>
      <c r="L55" s="216">
        <f>VLOOKUP($A55,LEGEND!$H:$Z,13,0)</f>
        <v>23462483.2165439</v>
      </c>
      <c r="M55" s="216">
        <f>VLOOKUP($A55,LEGEND!$H:$Z,16,0)</f>
        <v>34236267.8588484</v>
      </c>
      <c r="N55" s="216">
        <f>VLOOKUP($A55,LEGEND!$H:$Z,19,0)</f>
        <v>49785181.1249937</v>
      </c>
      <c r="O55" s="216">
        <f>VLOOKUP($A55,LEGEND!$H:$AF,22,0)</f>
        <v>16022669.8879515</v>
      </c>
      <c r="P55" s="216">
        <f>VLOOKUP($A55,LEGEND!$H:$AF,25,0)</f>
        <v>16022669.8879515</v>
      </c>
    </row>
    <row r="56" spans="1:16">
      <c r="A56" s="192">
        <v>42</v>
      </c>
      <c r="B56" s="192">
        <f t="shared" si="1"/>
        <v>97</v>
      </c>
      <c r="C56" s="194">
        <v>504</v>
      </c>
      <c r="D56" s="195">
        <f t="shared" si="2"/>
        <v>2067</v>
      </c>
      <c r="E56" s="195"/>
      <c r="F56" s="196">
        <f t="shared" si="3"/>
        <v>1000000</v>
      </c>
      <c r="G56" s="197"/>
      <c r="H56" s="199">
        <f>VLOOKUP($A56,LEGEND!$H:$Z,4,0)</f>
        <v>5192783.91117629</v>
      </c>
      <c r="I56" s="218"/>
      <c r="J56" s="216">
        <f>VLOOKUP($A56,LEGEND!$H:$Z,7,0)</f>
        <v>7761587.55511744</v>
      </c>
      <c r="K56" s="216">
        <f>VLOOKUP($A56,LEGEND!$H:$Z,10,0)</f>
        <v>17144256.7801081</v>
      </c>
      <c r="L56" s="216">
        <f>VLOOKUP($A56,LEGEND!$H:$Z,13,0)</f>
        <v>25339481.8738674</v>
      </c>
      <c r="M56" s="216">
        <f>VLOOKUP($A56,LEGEND!$H:$Z,16,0)</f>
        <v>37317531.9661448</v>
      </c>
      <c r="N56" s="216">
        <f>VLOOKUP($A56,LEGEND!$H:$Z,19,0)</f>
        <v>54763699.2374931</v>
      </c>
      <c r="O56" s="216">
        <f>VLOOKUP($A56,LEGEND!$H:$AF,22,0)</f>
        <v>17144256.7801081</v>
      </c>
      <c r="P56" s="216">
        <f>VLOOKUP($A56,LEGEND!$H:$AF,25,0)</f>
        <v>17144256.7801081</v>
      </c>
    </row>
    <row r="57" spans="1:16">
      <c r="A57" s="192">
        <v>43</v>
      </c>
      <c r="B57" s="192">
        <f t="shared" si="1"/>
        <v>98</v>
      </c>
      <c r="C57" s="194">
        <v>516</v>
      </c>
      <c r="D57" s="195">
        <f t="shared" si="2"/>
        <v>2068</v>
      </c>
      <c r="E57" s="195"/>
      <c r="F57" s="196">
        <f t="shared" si="3"/>
        <v>1000000</v>
      </c>
      <c r="G57" s="197"/>
      <c r="H57" s="199">
        <f>VLOOKUP($A57,LEGEND!$H:$Z,4,0)</f>
        <v>5400495.26762334</v>
      </c>
      <c r="I57" s="218"/>
      <c r="J57" s="216">
        <f>VLOOKUP($A57,LEGEND!$H:$Z,7,0)</f>
        <v>8149666.93287331</v>
      </c>
      <c r="K57" s="216">
        <f>VLOOKUP($A57,LEGEND!$H:$Z,10,0)</f>
        <v>18344354.7547156</v>
      </c>
      <c r="L57" s="216">
        <f>VLOOKUP($A57,LEGEND!$H:$Z,13,0)</f>
        <v>27366640.4237768</v>
      </c>
      <c r="M57" s="216">
        <f>VLOOKUP($A57,LEGEND!$H:$Z,16,0)</f>
        <v>40676109.8430978</v>
      </c>
      <c r="N57" s="216">
        <f>VLOOKUP($A57,LEGEND!$H:$Z,19,0)</f>
        <v>60240069.1612424</v>
      </c>
      <c r="O57" s="216">
        <f>VLOOKUP($A57,LEGEND!$H:$AF,22,0)</f>
        <v>18344354.7547156</v>
      </c>
      <c r="P57" s="216">
        <f>VLOOKUP($A57,LEGEND!$H:$AF,25,0)</f>
        <v>18344354.7547156</v>
      </c>
    </row>
    <row r="58" spans="1:16">
      <c r="A58" s="192">
        <v>44</v>
      </c>
      <c r="B58" s="192">
        <f t="shared" si="1"/>
        <v>99</v>
      </c>
      <c r="C58" s="194">
        <v>528</v>
      </c>
      <c r="D58" s="195">
        <f t="shared" si="2"/>
        <v>2069</v>
      </c>
      <c r="E58" s="195"/>
      <c r="F58" s="196">
        <f t="shared" si="3"/>
        <v>1000000</v>
      </c>
      <c r="G58" s="197"/>
      <c r="H58" s="199">
        <f>VLOOKUP($A58,LEGEND!$H:$Z,4,0)</f>
        <v>5616515.07832827</v>
      </c>
      <c r="I58" s="218"/>
      <c r="J58" s="216">
        <f>VLOOKUP($A58,LEGEND!$H:$Z,7,0)</f>
        <v>8557150.27951697</v>
      </c>
      <c r="K58" s="216">
        <f>VLOOKUP($A58,LEGEND!$H:$Z,10,0)</f>
        <v>19628459.5875457</v>
      </c>
      <c r="L58" s="216">
        <f>VLOOKUP($A58,LEGEND!$H:$Z,13,0)</f>
        <v>29555971.657679</v>
      </c>
      <c r="M58" s="216">
        <f>VLOOKUP($A58,LEGEND!$H:$Z,16,0)</f>
        <v>44336959.7289766</v>
      </c>
      <c r="N58" s="216">
        <f>VLOOKUP($A58,LEGEND!$H:$Z,19,0)</f>
        <v>66264076.0773667</v>
      </c>
      <c r="O58" s="216">
        <f>VLOOKUP($A58,LEGEND!$H:$AF,22,0)</f>
        <v>19628459.5875457</v>
      </c>
      <c r="P58" s="216">
        <f>VLOOKUP($A58,LEGEND!$H:$AF,25,0)</f>
        <v>19628459.5875457</v>
      </c>
    </row>
    <row r="59" spans="1:16">
      <c r="A59" s="192">
        <v>45</v>
      </c>
      <c r="B59" s="192">
        <f t="shared" si="1"/>
        <v>100</v>
      </c>
      <c r="C59" s="194">
        <v>540</v>
      </c>
      <c r="D59" s="195">
        <f t="shared" si="2"/>
        <v>2070</v>
      </c>
      <c r="E59" s="195"/>
      <c r="F59" s="196">
        <f t="shared" si="3"/>
        <v>1000000</v>
      </c>
      <c r="G59" s="197"/>
      <c r="H59" s="199">
        <f>VLOOKUP($A59,LEGEND!$H:$Z,4,0)</f>
        <v>5841175.68146141</v>
      </c>
      <c r="I59" s="218"/>
      <c r="J59" s="216">
        <f>VLOOKUP($A59,LEGEND!$H:$Z,7,0)</f>
        <v>8985007.79349282</v>
      </c>
      <c r="K59" s="216">
        <f>VLOOKUP($A59,LEGEND!$H:$Z,10,0)</f>
        <v>21002451.7586739</v>
      </c>
      <c r="L59" s="216">
        <f>VLOOKUP($A59,LEGEND!$H:$Z,13,0)</f>
        <v>31920449.3902933</v>
      </c>
      <c r="M59" s="216">
        <f>VLOOKUP($A59,LEGEND!$H:$Z,16,0)</f>
        <v>48327286.1045845</v>
      </c>
      <c r="N59" s="216">
        <f>VLOOKUP($A59,LEGEND!$H:$Z,19,0)</f>
        <v>72890483.6851033</v>
      </c>
      <c r="O59" s="216">
        <f>VLOOKUP($A59,LEGEND!$H:$AF,22,0)</f>
        <v>21002451.7586739</v>
      </c>
      <c r="P59" s="216">
        <f>VLOOKUP($A59,LEGEND!$H:$AF,25,0)</f>
        <v>21002451.7586739</v>
      </c>
    </row>
    <row r="60" spans="1:16">
      <c r="A60" s="192">
        <v>46</v>
      </c>
      <c r="B60" s="192">
        <f t="shared" ref="B60:B63" si="4">$F$3+A60</f>
        <v>101</v>
      </c>
      <c r="C60" s="194">
        <v>552</v>
      </c>
      <c r="D60" s="195">
        <f t="shared" ref="D60:D63" si="5">YEAR($C$2)+A60</f>
        <v>2071</v>
      </c>
      <c r="E60" s="195"/>
      <c r="F60" s="196">
        <f t="shared" si="3"/>
        <v>1000000</v>
      </c>
      <c r="G60" s="197"/>
      <c r="H60" s="199">
        <f>VLOOKUP($A60,LEGEND!$H:$Z,4,0)</f>
        <v>6074822.70871986</v>
      </c>
      <c r="I60" s="218"/>
      <c r="J60" s="216">
        <f>VLOOKUP($A60,LEGEND!$H:$Z,7,0)</f>
        <v>9434258.18316747</v>
      </c>
      <c r="K60" s="216">
        <f>VLOOKUP($A60,LEGEND!$H:$Z,10,0)</f>
        <v>22472623.3817811</v>
      </c>
      <c r="L60" s="216">
        <f>VLOOKUP($A60,LEGEND!$H:$Z,13,0)</f>
        <v>34474085.3415167</v>
      </c>
      <c r="M60" s="216">
        <f>VLOOKUP($A60,LEGEND!$H:$Z,16,0)</f>
        <v>52676741.8539971</v>
      </c>
      <c r="N60" s="216">
        <f>VLOOKUP($A60,LEGEND!$H:$Z,19,0)</f>
        <v>80179532.0536137</v>
      </c>
      <c r="O60" s="219"/>
      <c r="P60" s="219"/>
    </row>
    <row r="61" spans="1:16">
      <c r="A61" s="192">
        <v>47</v>
      </c>
      <c r="B61" s="192">
        <f t="shared" si="4"/>
        <v>102</v>
      </c>
      <c r="C61" s="194">
        <v>564</v>
      </c>
      <c r="D61" s="195">
        <f t="shared" si="5"/>
        <v>2072</v>
      </c>
      <c r="E61" s="195"/>
      <c r="F61" s="196">
        <f t="shared" si="3"/>
        <v>1000000</v>
      </c>
      <c r="G61" s="197"/>
      <c r="H61" s="199">
        <f>VLOOKUP($A61,LEGEND!$H:$Z,4,0)</f>
        <v>6317815.61706866</v>
      </c>
      <c r="I61" s="218"/>
      <c r="J61" s="216">
        <f>VLOOKUP($A61,LEGEND!$H:$Z,7,0)</f>
        <v>9905971.09232584</v>
      </c>
      <c r="K61" s="216">
        <f>VLOOKUP($A61,LEGEND!$H:$Z,10,0)</f>
        <v>24045707.0185058</v>
      </c>
      <c r="L61" s="216">
        <f>VLOOKUP($A61,LEGEND!$H:$Z,13,0)</f>
        <v>37232012.1688381</v>
      </c>
      <c r="M61" s="216">
        <f>VLOOKUP($A61,LEGEND!$H:$Z,16,0)</f>
        <v>57417648.6208568</v>
      </c>
      <c r="N61" s="216">
        <f>VLOOKUP($A61,LEGEND!$H:$Z,19,0)</f>
        <v>88197485.258975</v>
      </c>
      <c r="O61" s="219"/>
      <c r="P61" s="219"/>
    </row>
    <row r="62" spans="1:16">
      <c r="A62" s="192">
        <v>48</v>
      </c>
      <c r="B62" s="192">
        <f t="shared" si="4"/>
        <v>103</v>
      </c>
      <c r="C62" s="194">
        <v>576</v>
      </c>
      <c r="D62" s="195">
        <f t="shared" si="5"/>
        <v>2073</v>
      </c>
      <c r="E62" s="195"/>
      <c r="F62" s="196">
        <f t="shared" si="3"/>
        <v>1000000</v>
      </c>
      <c r="G62" s="197"/>
      <c r="H62" s="199">
        <f>VLOOKUP($A62,LEGEND!$H:$Z,4,0)</f>
        <v>6570528.2417514</v>
      </c>
      <c r="I62" s="218"/>
      <c r="J62" s="216">
        <f>VLOOKUP($A62,LEGEND!$H:$Z,7,0)</f>
        <v>10401269.6469421</v>
      </c>
      <c r="K62" s="216">
        <f>VLOOKUP($A62,LEGEND!$H:$Z,10,0)</f>
        <v>25728906.5098012</v>
      </c>
      <c r="L62" s="216">
        <f>VLOOKUP($A62,LEGEND!$H:$Z,13,0)</f>
        <v>40210573.1423451</v>
      </c>
      <c r="M62" s="216">
        <f>VLOOKUP($A62,LEGEND!$H:$Z,16,0)</f>
        <v>62585236.996734</v>
      </c>
      <c r="N62" s="216">
        <f>VLOOKUP($A62,LEGEND!$H:$Z,19,0)</f>
        <v>97017233.7848725</v>
      </c>
      <c r="O62" s="219"/>
      <c r="P62" s="219"/>
    </row>
    <row r="63" spans="1:16">
      <c r="A63" s="192">
        <v>49</v>
      </c>
      <c r="B63" s="192">
        <f t="shared" si="4"/>
        <v>104</v>
      </c>
      <c r="C63" s="194">
        <v>588</v>
      </c>
      <c r="D63" s="195">
        <f t="shared" si="5"/>
        <v>2074</v>
      </c>
      <c r="E63" s="195"/>
      <c r="F63" s="196">
        <f t="shared" si="3"/>
        <v>1000000</v>
      </c>
      <c r="G63" s="197"/>
      <c r="H63" s="199">
        <f>VLOOKUP($A63,LEGEND!$H:$Z,4,0)</f>
        <v>6833349.37142146</v>
      </c>
      <c r="I63" s="218"/>
      <c r="J63" s="216">
        <f>VLOOKUP($A63,LEGEND!$H:$Z,7,0)</f>
        <v>10921333.1292892</v>
      </c>
      <c r="K63" s="216">
        <f>VLOOKUP($A63,LEGEND!$H:$Z,10,0)</f>
        <v>27529929.9654873</v>
      </c>
      <c r="L63" s="216">
        <f>VLOOKUP($A63,LEGEND!$H:$Z,13,0)</f>
        <v>43427418.9937327</v>
      </c>
      <c r="M63" s="216">
        <f>VLOOKUP($A63,LEGEND!$H:$Z,16,0)</f>
        <v>68217908.32644</v>
      </c>
      <c r="N63" s="216">
        <f>VLOOKUP($A63,LEGEND!$H:$Z,19,0)</f>
        <v>106718957.16336</v>
      </c>
      <c r="O63" s="219"/>
      <c r="P63" s="219"/>
    </row>
    <row r="64" spans="1:16">
      <c r="A64" s="192">
        <v>50</v>
      </c>
      <c r="B64" s="192">
        <f t="shared" ref="B64:B70" si="6">$F$3+A64</f>
        <v>105</v>
      </c>
      <c r="C64" s="194">
        <v>600</v>
      </c>
      <c r="D64" s="195">
        <f t="shared" ref="D64:D70" si="7">YEAR($C$2)+A64</f>
        <v>2075</v>
      </c>
      <c r="E64" s="195"/>
      <c r="F64" s="196">
        <f t="shared" si="3"/>
        <v>1000000</v>
      </c>
      <c r="G64" s="197"/>
      <c r="H64" s="199">
        <f>VLOOKUP($A64,LEGEND!$H:$Z,4,0)</f>
        <v>7106683.34627832</v>
      </c>
      <c r="I64" s="218"/>
      <c r="J64" s="216">
        <f>VLOOKUP($A64,LEGEND!$H:$Z,7,0)</f>
        <v>11467399.7857537</v>
      </c>
      <c r="K64" s="216">
        <f>VLOOKUP($A64,LEGEND!$H:$Z,10,0)</f>
        <v>29457025.0630714</v>
      </c>
      <c r="L64" s="216">
        <f>VLOOKUP($A64,LEGEND!$H:$Z,13,0)</f>
        <v>46901612.5132314</v>
      </c>
      <c r="M64" s="216">
        <f>VLOOKUP($A64,LEGEND!$H:$Z,16,0)</f>
        <v>74357520.0758196</v>
      </c>
      <c r="N64" s="216">
        <f>VLOOKUP($A64,LEGEND!$H:$Z,19,0)</f>
        <v>117390852.879696</v>
      </c>
      <c r="O64" s="219"/>
      <c r="P64" s="219"/>
    </row>
    <row r="65" hidden="1" outlineLevel="1" spans="1:16">
      <c r="A65" s="192">
        <v>51</v>
      </c>
      <c r="B65" s="192">
        <f t="shared" si="6"/>
        <v>106</v>
      </c>
      <c r="C65" s="194">
        <v>612</v>
      </c>
      <c r="D65" s="195">
        <f t="shared" si="7"/>
        <v>2076</v>
      </c>
      <c r="E65" s="195"/>
      <c r="F65" s="196">
        <f t="shared" si="3"/>
        <v>1000000</v>
      </c>
      <c r="G65" s="197"/>
      <c r="H65" s="199">
        <f>VLOOKUP($A65,LEGEND!$H:$Z,4,0)</f>
        <v>7390950.68012945</v>
      </c>
      <c r="I65" s="218"/>
      <c r="J65" s="216">
        <f>VLOOKUP($A65,LEGEND!$H:$Z,7,0)</f>
        <v>12040769.7750414</v>
      </c>
      <c r="K65" s="216">
        <f>VLOOKUP($A65,LEGEND!$H:$Z,10,0)</f>
        <v>31519016.8174864</v>
      </c>
      <c r="L65" s="216">
        <f>VLOOKUP($A65,LEGEND!$H:$Z,13,0)</f>
        <v>50653741.5142899</v>
      </c>
      <c r="M65" s="216">
        <f>VLOOKUP($A65,LEGEND!$H:$Z,16,0)</f>
        <v>81049696.8826434</v>
      </c>
      <c r="N65" s="216">
        <f>VLOOKUP($A65,LEGEND!$H:$Z,19,0)</f>
        <v>129129938.167665</v>
      </c>
      <c r="O65" s="219"/>
      <c r="P65" s="219"/>
    </row>
    <row r="66" hidden="1" outlineLevel="1" spans="1:16">
      <c r="A66" s="192">
        <v>52</v>
      </c>
      <c r="B66" s="192">
        <f t="shared" si="6"/>
        <v>107</v>
      </c>
      <c r="C66" s="194">
        <v>624</v>
      </c>
      <c r="D66" s="195">
        <f t="shared" si="7"/>
        <v>2077</v>
      </c>
      <c r="E66" s="195"/>
      <c r="F66" s="196">
        <f t="shared" si="3"/>
        <v>1000000</v>
      </c>
      <c r="G66" s="197"/>
      <c r="H66" s="199">
        <f>VLOOKUP($A66,LEGEND!$H:$Z,4,0)</f>
        <v>7686588.70733463</v>
      </c>
      <c r="I66" s="218"/>
      <c r="J66" s="216">
        <f>VLOOKUP($A66,LEGEND!$H:$Z,7,0)</f>
        <v>12642808.2637935</v>
      </c>
      <c r="K66" s="216">
        <f>VLOOKUP($A66,LEGEND!$H:$Z,10,0)</f>
        <v>33725347.9947105</v>
      </c>
      <c r="L66" s="216">
        <f>VLOOKUP($A66,LEGEND!$H:$Z,13,0)</f>
        <v>54706040.8354331</v>
      </c>
      <c r="M66" s="216">
        <f>VLOOKUP($A66,LEGEND!$H:$Z,16,0)</f>
        <v>88344169.6020813</v>
      </c>
      <c r="N66" s="216">
        <f>VLOOKUP($A66,LEGEND!$H:$Z,19,0)</f>
        <v>142042931.984432</v>
      </c>
      <c r="O66" s="219"/>
      <c r="P66" s="219"/>
    </row>
    <row r="67" hidden="1" outlineLevel="1" spans="1:16">
      <c r="A67" s="192">
        <v>53</v>
      </c>
      <c r="B67" s="192">
        <f t="shared" si="6"/>
        <v>108</v>
      </c>
      <c r="C67" s="194">
        <v>636</v>
      </c>
      <c r="D67" s="195">
        <f t="shared" si="7"/>
        <v>2078</v>
      </c>
      <c r="E67" s="195"/>
      <c r="F67" s="196">
        <f t="shared" si="3"/>
        <v>1000000</v>
      </c>
      <c r="G67" s="197"/>
      <c r="H67" s="199">
        <f>VLOOKUP($A67,LEGEND!$H:$Z,4,0)</f>
        <v>7994052.25562801</v>
      </c>
      <c r="I67" s="218"/>
      <c r="J67" s="216">
        <f>VLOOKUP($A67,LEGEND!$H:$Z,7,0)</f>
        <v>13274948.6769831</v>
      </c>
      <c r="K67" s="216">
        <f>VLOOKUP($A67,LEGEND!$H:$Z,10,0)</f>
        <v>36086122.3543402</v>
      </c>
      <c r="L67" s="216">
        <f>VLOOKUP($A67,LEGEND!$H:$Z,13,0)</f>
        <v>59082524.1022677</v>
      </c>
      <c r="M67" s="216">
        <f>VLOOKUP($A67,LEGEND!$H:$Z,16,0)</f>
        <v>96295144.8662686</v>
      </c>
      <c r="N67" s="216">
        <f>VLOOKUP($A67,LEGEND!$H:$Z,19,0)</f>
        <v>156247225.182875</v>
      </c>
      <c r="O67" s="219"/>
      <c r="P67" s="219"/>
    </row>
    <row r="68" hidden="1" outlineLevel="1" spans="1:16">
      <c r="A68" s="192">
        <v>54</v>
      </c>
      <c r="B68" s="192">
        <f t="shared" si="6"/>
        <v>109</v>
      </c>
      <c r="C68" s="194">
        <v>648</v>
      </c>
      <c r="D68" s="195">
        <f t="shared" si="7"/>
        <v>2079</v>
      </c>
      <c r="E68" s="195"/>
      <c r="F68" s="196">
        <f t="shared" si="3"/>
        <v>1000000</v>
      </c>
      <c r="G68" s="197"/>
      <c r="H68" s="199">
        <f>VLOOKUP($A68,LEGEND!$H:$Z,4,0)</f>
        <v>8313814.34585313</v>
      </c>
      <c r="I68" s="218"/>
      <c r="J68" s="216">
        <f>VLOOKUP($A68,LEGEND!$H:$Z,7,0)</f>
        <v>13938696.1108323</v>
      </c>
      <c r="K68" s="216">
        <f>VLOOKUP($A68,LEGEND!$H:$Z,10,0)</f>
        <v>38612150.919144</v>
      </c>
      <c r="L68" s="216">
        <f>VLOOKUP($A68,LEGEND!$H:$Z,13,0)</f>
        <v>63809126.0304491</v>
      </c>
      <c r="M68" s="216">
        <f>VLOOKUP($A68,LEGEND!$H:$Z,16,0)</f>
        <v>104961707.904233</v>
      </c>
      <c r="N68" s="216">
        <f>VLOOKUP($A68,LEGEND!$H:$Z,19,0)</f>
        <v>171871947.701163</v>
      </c>
      <c r="O68" s="219"/>
      <c r="P68" s="219"/>
    </row>
    <row r="69" hidden="1" outlineLevel="1" spans="1:16">
      <c r="A69" s="192">
        <v>55</v>
      </c>
      <c r="B69" s="192">
        <f t="shared" si="6"/>
        <v>110</v>
      </c>
      <c r="C69" s="194">
        <v>660</v>
      </c>
      <c r="D69" s="195">
        <f t="shared" si="7"/>
        <v>2080</v>
      </c>
      <c r="E69" s="195"/>
      <c r="F69" s="196">
        <f t="shared" si="3"/>
        <v>1000000</v>
      </c>
      <c r="G69" s="197"/>
      <c r="H69" s="199">
        <f>VLOOKUP($A69,LEGEND!$H:$Z,4,0)</f>
        <v>8646366.91968726</v>
      </c>
      <c r="I69" s="218"/>
      <c r="J69" s="216">
        <f>VLOOKUP($A69,LEGEND!$H:$Z,7,0)</f>
        <v>14635630.9163739</v>
      </c>
      <c r="K69" s="216">
        <f>VLOOKUP($A69,LEGEND!$H:$Z,10,0)</f>
        <v>41315001.4834841</v>
      </c>
      <c r="L69" s="216">
        <f>VLOOKUP($A69,LEGEND!$H:$Z,13,0)</f>
        <v>68913856.1128851</v>
      </c>
      <c r="M69" s="216">
        <f>VLOOKUP($A69,LEGEND!$H:$Z,16,0)</f>
        <v>114408261.615614</v>
      </c>
      <c r="N69" s="216">
        <f>VLOOKUP($A69,LEGEND!$H:$Z,19,0)</f>
        <v>189059142.471279</v>
      </c>
      <c r="O69" s="219"/>
      <c r="P69" s="219"/>
    </row>
    <row r="70" hidden="1" outlineLevel="1" spans="1:16">
      <c r="A70" s="192">
        <v>56</v>
      </c>
      <c r="B70" s="192">
        <f t="shared" si="6"/>
        <v>111</v>
      </c>
      <c r="C70" s="194">
        <v>672</v>
      </c>
      <c r="D70" s="195">
        <f t="shared" si="7"/>
        <v>2081</v>
      </c>
      <c r="E70" s="195"/>
      <c r="F70" s="196">
        <f t="shared" si="3"/>
        <v>1000000</v>
      </c>
      <c r="G70" s="197"/>
      <c r="H70" s="199">
        <f>VLOOKUP($A70,LEGEND!$H:$Z,4,0)</f>
        <v>8992221.59647475</v>
      </c>
      <c r="I70" s="218"/>
      <c r="J70" s="216">
        <f>VLOOKUP($A70,LEGEND!$H:$Z,7,0)</f>
        <v>15367412.4621926</v>
      </c>
      <c r="K70" s="216">
        <f>VLOOKUP($A70,LEGEND!$H:$Z,10,0)</f>
        <v>44207051.587328</v>
      </c>
      <c r="L70" s="216">
        <f>VLOOKUP($A70,LEGEND!$H:$Z,13,0)</f>
        <v>74426964.6019159</v>
      </c>
      <c r="M70" s="216">
        <f>VLOOKUP($A70,LEGEND!$H:$Z,16,0)</f>
        <v>124705005.161019</v>
      </c>
      <c r="N70" s="216">
        <f>VLOOKUP($A70,LEGEND!$H:$Z,19,0)</f>
        <v>207965056.718407</v>
      </c>
      <c r="O70" s="219"/>
      <c r="P70" s="219"/>
    </row>
    <row r="71" hidden="1" outlineLevel="1" spans="1:16">
      <c r="A71" s="192">
        <v>57</v>
      </c>
      <c r="B71" s="192">
        <f t="shared" ref="B71:B74" si="8">$F$3+A71</f>
        <v>112</v>
      </c>
      <c r="C71" s="194">
        <v>684</v>
      </c>
      <c r="D71" s="195">
        <f t="shared" ref="D71:D74" si="9">YEAR($C$2)+A71</f>
        <v>2082</v>
      </c>
      <c r="E71" s="195"/>
      <c r="F71" s="196">
        <f t="shared" si="3"/>
        <v>1000000</v>
      </c>
      <c r="G71" s="197"/>
      <c r="H71" s="199">
        <f>VLOOKUP($A71,LEGEND!$H:$Z,4,0)</f>
        <v>9351910.46033374</v>
      </c>
      <c r="I71" s="218"/>
      <c r="J71" s="216">
        <f>VLOOKUP($A71,LEGEND!$H:$Z,7,0)</f>
        <v>16135783.0853022</v>
      </c>
      <c r="K71" s="216">
        <f>VLOOKUP($A71,LEGEND!$H:$Z,10,0)</f>
        <v>47301545.1984409</v>
      </c>
      <c r="L71" s="216">
        <f>VLOOKUP($A71,LEGEND!$H:$Z,13,0)</f>
        <v>80381121.7700691</v>
      </c>
      <c r="M71" s="216">
        <f>VLOOKUP($A71,LEGEND!$H:$Z,16,0)</f>
        <v>135928455.625511</v>
      </c>
      <c r="N71" s="216">
        <f>VLOOKUP($A71,LEGEND!$H:$Z,19,0)</f>
        <v>228761562.390248</v>
      </c>
      <c r="O71" s="219"/>
      <c r="P71" s="219"/>
    </row>
    <row r="72" hidden="1" outlineLevel="1" spans="1:16">
      <c r="A72" s="192">
        <v>58</v>
      </c>
      <c r="B72" s="192">
        <f t="shared" si="8"/>
        <v>113</v>
      </c>
      <c r="C72" s="194">
        <v>696</v>
      </c>
      <c r="D72" s="195">
        <f t="shared" si="9"/>
        <v>2083</v>
      </c>
      <c r="E72" s="195"/>
      <c r="F72" s="196">
        <f t="shared" si="3"/>
        <v>1000000</v>
      </c>
      <c r="G72" s="197"/>
      <c r="H72" s="199">
        <f>VLOOKUP($A72,LEGEND!$H:$Z,4,0)</f>
        <v>9725986.87874709</v>
      </c>
      <c r="I72" s="218"/>
      <c r="J72" s="216">
        <f>VLOOKUP($A72,LEGEND!$H:$Z,7,0)</f>
        <v>16942572.2395673</v>
      </c>
      <c r="K72" s="216">
        <f>VLOOKUP($A72,LEGEND!$H:$Z,10,0)</f>
        <v>50612653.3623318</v>
      </c>
      <c r="L72" s="216">
        <f>VLOOKUP($A72,LEGEND!$H:$Z,13,0)</f>
        <v>86811611.5116747</v>
      </c>
      <c r="M72" s="216">
        <f>VLOOKUP($A72,LEGEND!$H:$Z,16,0)</f>
        <v>148162016.631807</v>
      </c>
      <c r="N72" s="216">
        <f>VLOOKUP($A72,LEGEND!$H:$Z,19,0)</f>
        <v>251637718.629272</v>
      </c>
      <c r="O72" s="219"/>
      <c r="P72" s="219"/>
    </row>
    <row r="73" hidden="1" outlineLevel="1" spans="1:16">
      <c r="A73" s="192">
        <v>59</v>
      </c>
      <c r="B73" s="192">
        <f t="shared" si="8"/>
        <v>114</v>
      </c>
      <c r="C73" s="194">
        <v>708</v>
      </c>
      <c r="D73" s="195">
        <f t="shared" si="9"/>
        <v>2084</v>
      </c>
      <c r="E73" s="195"/>
      <c r="F73" s="196">
        <f t="shared" si="3"/>
        <v>1000000</v>
      </c>
      <c r="G73" s="197"/>
      <c r="H73" s="199">
        <f>VLOOKUP($A73,LEGEND!$H:$Z,4,0)</f>
        <v>10115026.353897</v>
      </c>
      <c r="I73" s="218"/>
      <c r="J73" s="216">
        <f>VLOOKUP($A73,LEGEND!$H:$Z,7,0)</f>
        <v>17789700.8515457</v>
      </c>
      <c r="K73" s="216">
        <f>VLOOKUP($A73,LEGEND!$H:$Z,10,0)</f>
        <v>54155539.097695</v>
      </c>
      <c r="L73" s="216">
        <f>VLOOKUP($A73,LEGEND!$H:$Z,13,0)</f>
        <v>93756540.4326087</v>
      </c>
      <c r="M73" s="216">
        <f>VLOOKUP($A73,LEGEND!$H:$Z,16,0)</f>
        <v>161496598.128669</v>
      </c>
      <c r="N73" s="216">
        <f>VLOOKUP($A73,LEGEND!$H:$Z,19,0)</f>
        <v>276801490.4922</v>
      </c>
      <c r="O73" s="219"/>
      <c r="P73" s="219"/>
    </row>
    <row r="74" hidden="1" outlineLevel="1" spans="1:16">
      <c r="A74" s="192">
        <v>60</v>
      </c>
      <c r="B74" s="192">
        <f t="shared" si="8"/>
        <v>115</v>
      </c>
      <c r="C74" s="194">
        <v>720</v>
      </c>
      <c r="D74" s="195">
        <f t="shared" si="9"/>
        <v>2085</v>
      </c>
      <c r="E74" s="195"/>
      <c r="F74" s="196">
        <f t="shared" si="3"/>
        <v>1000000</v>
      </c>
      <c r="G74" s="197"/>
      <c r="H74" s="199">
        <f>VLOOKUP($A74,LEGEND!$H:$Z,4,0)</f>
        <v>10519627.4080529</v>
      </c>
      <c r="I74" s="218"/>
      <c r="J74" s="216">
        <f>VLOOKUP($A74,LEGEND!$H:$Z,7,0)</f>
        <v>18679185.894123</v>
      </c>
      <c r="K74" s="216">
        <f>VLOOKUP($A74,LEGEND!$H:$Z,10,0)</f>
        <v>57946426.8345337</v>
      </c>
      <c r="L74" s="216">
        <f>VLOOKUP($A74,LEGEND!$H:$Z,13,0)</f>
        <v>101257063.667217</v>
      </c>
      <c r="M74" s="216">
        <f>VLOOKUP($A74,LEGEND!$H:$Z,16,0)</f>
        <v>176031291.96025</v>
      </c>
      <c r="N74" s="216">
        <f>VLOOKUP($A74,LEGEND!$H:$Z,19,0)</f>
        <v>304481639.54142</v>
      </c>
      <c r="O74" s="219"/>
      <c r="P74" s="219"/>
    </row>
    <row r="75" collapsed="1" spans="1:16">
      <c r="A75" s="242"/>
      <c r="B75" s="242"/>
      <c r="C75" s="243"/>
      <c r="D75" s="244"/>
      <c r="E75" s="244"/>
      <c r="F75" s="245"/>
      <c r="G75" s="245"/>
      <c r="H75" s="245"/>
      <c r="I75" s="249"/>
      <c r="J75" s="249"/>
      <c r="K75" s="249"/>
      <c r="L75" s="249"/>
      <c r="M75" s="249"/>
      <c r="N75" s="249"/>
      <c r="O75" s="249"/>
      <c r="P75" s="249"/>
    </row>
    <row r="76" spans="4:11">
      <c r="D76" s="224"/>
      <c r="E76" s="224"/>
      <c r="F76" s="246"/>
      <c r="G76" s="246"/>
      <c r="H76" s="246"/>
      <c r="I76" s="250"/>
      <c r="J76" s="250"/>
      <c r="K76" s="250"/>
    </row>
    <row r="77" spans="4:11">
      <c r="D77" s="224"/>
      <c r="E77" s="224"/>
      <c r="F77" s="246"/>
      <c r="G77" s="246"/>
      <c r="H77" s="246"/>
      <c r="I77" s="250"/>
      <c r="J77" s="250"/>
      <c r="K77" s="250"/>
    </row>
    <row r="78" spans="4:11">
      <c r="D78" s="224"/>
      <c r="E78" s="224"/>
      <c r="F78" s="246"/>
      <c r="G78" s="246"/>
      <c r="H78" s="246"/>
      <c r="I78" s="250"/>
      <c r="J78" s="250"/>
      <c r="K78" s="250"/>
    </row>
    <row r="79" spans="4:16">
      <c r="D79" s="224"/>
      <c r="E79" s="224"/>
      <c r="F79" s="246"/>
      <c r="G79" s="246"/>
      <c r="H79" s="246"/>
      <c r="I79" s="250"/>
      <c r="J79" s="250"/>
      <c r="K79" s="250"/>
      <c r="L79" s="250"/>
      <c r="M79" s="250"/>
      <c r="N79" s="250"/>
      <c r="O79" s="250"/>
      <c r="P79" s="250"/>
    </row>
    <row r="80" spans="4:16">
      <c r="D80" s="224"/>
      <c r="E80" s="224"/>
      <c r="F80" s="246"/>
      <c r="G80" s="246"/>
      <c r="H80" s="246"/>
      <c r="I80" s="250"/>
      <c r="J80" s="250"/>
      <c r="K80" s="250"/>
      <c r="L80" s="250"/>
      <c r="M80" s="250"/>
      <c r="N80" s="250"/>
      <c r="O80" s="250"/>
      <c r="P80" s="250"/>
    </row>
    <row r="81" spans="4:16">
      <c r="D81" s="247"/>
      <c r="E81" s="247"/>
      <c r="F81" s="246"/>
      <c r="G81" s="246"/>
      <c r="H81" s="246"/>
      <c r="I81" s="250"/>
      <c r="J81" s="250"/>
      <c r="K81" s="250"/>
      <c r="L81" s="250"/>
      <c r="M81" s="250"/>
      <c r="N81" s="250"/>
      <c r="O81" s="250"/>
      <c r="P81" s="250"/>
    </row>
    <row r="82" spans="4:16">
      <c r="D82" s="248"/>
      <c r="E82" s="248"/>
      <c r="I82" s="250"/>
      <c r="J82" s="250"/>
      <c r="K82" s="250"/>
      <c r="L82" s="250"/>
      <c r="M82" s="250"/>
      <c r="N82" s="250"/>
      <c r="O82" s="250"/>
      <c r="P82" s="250"/>
    </row>
    <row r="83" spans="4:16">
      <c r="D83" s="224"/>
      <c r="E83" s="224"/>
      <c r="I83" s="250"/>
      <c r="J83" s="250"/>
      <c r="K83" s="250"/>
      <c r="L83" s="250"/>
      <c r="M83" s="250"/>
      <c r="N83" s="250"/>
      <c r="O83" s="250"/>
      <c r="P83" s="250"/>
    </row>
    <row r="84" spans="4:16">
      <c r="D84" s="224"/>
      <c r="E84" s="224"/>
      <c r="F84" s="246"/>
      <c r="G84" s="246"/>
      <c r="H84" s="246"/>
      <c r="I84" s="250"/>
      <c r="J84" s="250"/>
      <c r="K84" s="250"/>
      <c r="L84" s="250"/>
      <c r="M84" s="250"/>
      <c r="N84" s="250"/>
      <c r="O84" s="250"/>
      <c r="P84" s="250"/>
    </row>
    <row r="85" spans="4:16">
      <c r="D85" s="224"/>
      <c r="E85" s="224"/>
      <c r="F85" s="246"/>
      <c r="G85" s="246"/>
      <c r="H85" s="246"/>
      <c r="I85" s="250"/>
      <c r="J85" s="250"/>
      <c r="K85" s="250"/>
      <c r="L85" s="250"/>
      <c r="M85" s="250"/>
      <c r="N85" s="250"/>
      <c r="O85" s="250"/>
      <c r="P85" s="250"/>
    </row>
    <row r="86" spans="4:16">
      <c r="D86" s="224"/>
      <c r="E86" s="224"/>
      <c r="F86" s="246"/>
      <c r="G86" s="246"/>
      <c r="H86" s="246"/>
      <c r="I86" s="250"/>
      <c r="J86" s="250"/>
      <c r="K86" s="250"/>
      <c r="L86" s="250"/>
      <c r="M86" s="250"/>
      <c r="N86" s="250"/>
      <c r="O86" s="250"/>
      <c r="P86" s="250"/>
    </row>
    <row r="87" spans="4:16">
      <c r="D87" s="224"/>
      <c r="E87" s="224"/>
      <c r="F87" s="246"/>
      <c r="G87" s="246"/>
      <c r="H87" s="246"/>
      <c r="I87" s="250"/>
      <c r="J87" s="250"/>
      <c r="K87" s="250"/>
      <c r="L87" s="250"/>
      <c r="M87" s="250"/>
      <c r="N87" s="250"/>
      <c r="O87" s="250"/>
      <c r="P87" s="250"/>
    </row>
    <row r="88" spans="4:16">
      <c r="D88" s="224"/>
      <c r="E88" s="224"/>
      <c r="F88" s="246"/>
      <c r="G88" s="246"/>
      <c r="H88" s="246"/>
      <c r="I88" s="250"/>
      <c r="J88" s="250"/>
      <c r="K88" s="250"/>
      <c r="L88" s="250"/>
      <c r="M88" s="250"/>
      <c r="N88" s="250"/>
      <c r="O88" s="250"/>
      <c r="P88" s="250"/>
    </row>
    <row r="89" spans="4:16">
      <c r="D89" s="224"/>
      <c r="E89" s="224"/>
      <c r="F89" s="246"/>
      <c r="G89" s="246"/>
      <c r="H89" s="246"/>
      <c r="I89" s="250"/>
      <c r="J89" s="250"/>
      <c r="K89" s="250"/>
      <c r="L89" s="250"/>
      <c r="M89" s="250"/>
      <c r="N89" s="250"/>
      <c r="O89" s="250"/>
      <c r="P89" s="250"/>
    </row>
    <row r="90" spans="4:16">
      <c r="D90" s="224"/>
      <c r="E90" s="224"/>
      <c r="F90" s="246"/>
      <c r="G90" s="246"/>
      <c r="H90" s="246"/>
      <c r="I90" s="250"/>
      <c r="J90" s="250"/>
      <c r="K90" s="250"/>
      <c r="L90" s="250"/>
      <c r="M90" s="250"/>
      <c r="N90" s="250"/>
      <c r="O90" s="250"/>
      <c r="P90" s="250"/>
    </row>
    <row r="91" spans="4:16">
      <c r="D91" s="224"/>
      <c r="E91" s="224"/>
      <c r="F91" s="246"/>
      <c r="G91" s="246"/>
      <c r="H91" s="246"/>
      <c r="I91" s="250"/>
      <c r="J91" s="250"/>
      <c r="K91" s="250"/>
      <c r="L91" s="250"/>
      <c r="M91" s="250"/>
      <c r="N91" s="250"/>
      <c r="O91" s="250"/>
      <c r="P91" s="250"/>
    </row>
    <row r="92" spans="4:16">
      <c r="D92" s="224"/>
      <c r="E92" s="224"/>
      <c r="F92" s="246"/>
      <c r="G92" s="246"/>
      <c r="H92" s="246"/>
      <c r="I92" s="250"/>
      <c r="J92" s="250"/>
      <c r="K92" s="250"/>
      <c r="L92" s="250"/>
      <c r="M92" s="250"/>
      <c r="N92" s="250"/>
      <c r="O92" s="250"/>
      <c r="P92" s="250"/>
    </row>
    <row r="93" spans="4:16">
      <c r="D93" s="224"/>
      <c r="E93" s="224"/>
      <c r="F93" s="246"/>
      <c r="G93" s="246"/>
      <c r="H93" s="246"/>
      <c r="I93" s="250"/>
      <c r="J93" s="250"/>
      <c r="K93" s="250"/>
      <c r="L93" s="250"/>
      <c r="M93" s="250"/>
      <c r="N93" s="250"/>
      <c r="O93" s="250"/>
      <c r="P93" s="250"/>
    </row>
    <row r="94" spans="4:10">
      <c r="D94" s="224"/>
      <c r="E94" s="224"/>
      <c r="F94" s="246"/>
      <c r="G94" s="246"/>
      <c r="H94" s="246"/>
      <c r="I94" s="250"/>
      <c r="J94" s="250"/>
    </row>
  </sheetData>
  <sheetProtection autoFilter="0"/>
  <protectedRanges>
    <protectedRange sqref="H14 J14:P14" name="ANNUAL RATE"/>
  </protectedRanges>
  <autoFilter xmlns:etc="http://www.wps.cn/officeDocument/2017/etCustomData" ref="A14:B74" etc:filterBottomFollowUsedRange="0">
    <extLst/>
  </autoFilter>
  <mergeCells count="137">
    <mergeCell ref="J1:K1"/>
    <mergeCell ref="T1:W1"/>
    <mergeCell ref="F2:G2"/>
    <mergeCell ref="J2:K2"/>
    <mergeCell ref="F3:H3"/>
    <mergeCell ref="F4:H4"/>
    <mergeCell ref="H5:I5"/>
    <mergeCell ref="F7:H7"/>
    <mergeCell ref="F8:H8"/>
    <mergeCell ref="H9:I9"/>
    <mergeCell ref="H10:I10"/>
    <mergeCell ref="F14:G14"/>
    <mergeCell ref="H14:I14"/>
    <mergeCell ref="F15:G15"/>
    <mergeCell ref="H15:I15"/>
    <mergeCell ref="F16:G16"/>
    <mergeCell ref="H16:I16"/>
    <mergeCell ref="F17:G17"/>
    <mergeCell ref="H17:I17"/>
    <mergeCell ref="F18:G18"/>
    <mergeCell ref="H18:I18"/>
    <mergeCell ref="F19:G19"/>
    <mergeCell ref="H19:I19"/>
    <mergeCell ref="F20:G20"/>
    <mergeCell ref="H20:I20"/>
    <mergeCell ref="F21:G21"/>
    <mergeCell ref="H21:I21"/>
    <mergeCell ref="F22:G22"/>
    <mergeCell ref="H22:I22"/>
    <mergeCell ref="F23:G23"/>
    <mergeCell ref="H23:I23"/>
    <mergeCell ref="F24:G24"/>
    <mergeCell ref="H24:I24"/>
    <mergeCell ref="F25:G25"/>
    <mergeCell ref="H25:I25"/>
    <mergeCell ref="F26:G26"/>
    <mergeCell ref="H26:I26"/>
    <mergeCell ref="F27:G27"/>
    <mergeCell ref="H27:I27"/>
    <mergeCell ref="F28:G28"/>
    <mergeCell ref="H28:I28"/>
    <mergeCell ref="F29:G29"/>
    <mergeCell ref="H29:I29"/>
    <mergeCell ref="F30:G30"/>
    <mergeCell ref="H30:I30"/>
    <mergeCell ref="F31:G31"/>
    <mergeCell ref="H31:I31"/>
    <mergeCell ref="F32:G32"/>
    <mergeCell ref="H32:I32"/>
    <mergeCell ref="F33:G33"/>
    <mergeCell ref="H33:I33"/>
    <mergeCell ref="F34:G34"/>
    <mergeCell ref="H34:I34"/>
    <mergeCell ref="F35:G35"/>
    <mergeCell ref="H35:I35"/>
    <mergeCell ref="F36:G36"/>
    <mergeCell ref="H36:I36"/>
    <mergeCell ref="F37:G37"/>
    <mergeCell ref="H37:I37"/>
    <mergeCell ref="F38:G38"/>
    <mergeCell ref="H38:I38"/>
    <mergeCell ref="F39:G39"/>
    <mergeCell ref="H39:I39"/>
    <mergeCell ref="F40:G40"/>
    <mergeCell ref="H40:I40"/>
    <mergeCell ref="F41:G41"/>
    <mergeCell ref="H41:I41"/>
    <mergeCell ref="F42:G42"/>
    <mergeCell ref="H42:I42"/>
    <mergeCell ref="F43:G43"/>
    <mergeCell ref="H43:I43"/>
    <mergeCell ref="F44:G44"/>
    <mergeCell ref="H44:I44"/>
    <mergeCell ref="F45:G45"/>
    <mergeCell ref="H45:I45"/>
    <mergeCell ref="F46:G46"/>
    <mergeCell ref="H46:I46"/>
    <mergeCell ref="F47:G47"/>
    <mergeCell ref="H47:I47"/>
    <mergeCell ref="F48:G48"/>
    <mergeCell ref="H48:I48"/>
    <mergeCell ref="F49:G49"/>
    <mergeCell ref="H49:I49"/>
    <mergeCell ref="F50:G50"/>
    <mergeCell ref="H50:I50"/>
    <mergeCell ref="F51:G51"/>
    <mergeCell ref="H51:I51"/>
    <mergeCell ref="F52:G52"/>
    <mergeCell ref="H52:I52"/>
    <mergeCell ref="F53:G53"/>
    <mergeCell ref="H53:I53"/>
    <mergeCell ref="F54:G54"/>
    <mergeCell ref="H54:I54"/>
    <mergeCell ref="F55:G55"/>
    <mergeCell ref="H55:I55"/>
    <mergeCell ref="F56:G56"/>
    <mergeCell ref="H56:I56"/>
    <mergeCell ref="F57:G57"/>
    <mergeCell ref="H57:I57"/>
    <mergeCell ref="F58:G58"/>
    <mergeCell ref="H58:I58"/>
    <mergeCell ref="F59:G59"/>
    <mergeCell ref="H59:I59"/>
    <mergeCell ref="F60:G60"/>
    <mergeCell ref="H60:I60"/>
    <mergeCell ref="F61:G61"/>
    <mergeCell ref="H61:I61"/>
    <mergeCell ref="F62:G62"/>
    <mergeCell ref="H62:I62"/>
    <mergeCell ref="F63:G63"/>
    <mergeCell ref="H63:I63"/>
    <mergeCell ref="F64:G64"/>
    <mergeCell ref="H64:I64"/>
    <mergeCell ref="F65:G65"/>
    <mergeCell ref="H65:I65"/>
    <mergeCell ref="F66:G66"/>
    <mergeCell ref="H66:I66"/>
    <mergeCell ref="F67:G67"/>
    <mergeCell ref="H67:I67"/>
    <mergeCell ref="F68:G68"/>
    <mergeCell ref="H68:I68"/>
    <mergeCell ref="F69:G69"/>
    <mergeCell ref="H69:I69"/>
    <mergeCell ref="F70:G70"/>
    <mergeCell ref="H70:I70"/>
    <mergeCell ref="F71:G71"/>
    <mergeCell ref="H71:I71"/>
    <mergeCell ref="F72:G72"/>
    <mergeCell ref="H72:I72"/>
    <mergeCell ref="F73:G73"/>
    <mergeCell ref="H73:I73"/>
    <mergeCell ref="F74:G74"/>
    <mergeCell ref="H74:I74"/>
    <mergeCell ref="S8:S9"/>
    <mergeCell ref="T8:T9"/>
    <mergeCell ref="V8:V9"/>
    <mergeCell ref="W8:W9"/>
  </mergeCells>
  <conditionalFormatting sqref="A15:A75">
    <cfRule type="cellIs" dxfId="2" priority="74" stopIfTrue="1" operator="greaterThan">
      <formula>$F$8</formula>
    </cfRule>
  </conditionalFormatting>
  <conditionalFormatting sqref="A15:A74">
    <cfRule type="cellIs" dxfId="3" priority="57" stopIfTrue="1" operator="lessThanOrEqual">
      <formula>$A$5</formula>
    </cfRule>
  </conditionalFormatting>
  <conditionalFormatting sqref="O15:O74">
    <cfRule type="cellIs" dxfId="4" priority="48" operator="equal">
      <formula>$O$5</formula>
    </cfRule>
  </conditionalFormatting>
  <conditionalFormatting sqref="P15:P74">
    <cfRule type="cellIs" dxfId="4" priority="47" operator="equal">
      <formula>$P$5</formula>
    </cfRule>
  </conditionalFormatting>
  <conditionalFormatting sqref="W8:W9">
    <cfRule type="cellIs" dxfId="5" priority="71" operator="greaterThan">
      <formula>0.6</formula>
    </cfRule>
    <cfRule type="cellIs" dxfId="5" priority="73" operator="greaterThan">
      <formula>1</formula>
    </cfRule>
  </conditionalFormatting>
  <conditionalFormatting sqref="A15:N74">
    <cfRule type="expression" dxfId="6" priority="1" stopIfTrue="1">
      <formula>$A15=$F$8</formula>
    </cfRule>
  </conditionalFormatting>
  <conditionalFormatting sqref="H15:N74">
    <cfRule type="expression" dxfId="7" priority="3">
      <formula>IF(AND(H$14&gt;=4%,H$14&lt;=6%,$A15&gt;=4,$A15&lt;=6),TRUE,FALSE)</formula>
    </cfRule>
    <cfRule type="expression" dxfId="7" priority="6">
      <formula>IF(AND(H$14&gt;=7%,H$14&lt;=9%,$A15&gt;=16,$A15&lt;=20),TRUE,FALSE)</formula>
    </cfRule>
    <cfRule type="expression" dxfId="7" priority="4">
      <formula>IF(AND(H$14&gt;=5%,H$14&lt;=7%,$A15&gt;=7,$A15&lt;=10),TRUE,FALSE)</formula>
    </cfRule>
    <cfRule type="expression" dxfId="7" priority="9">
      <formula>IF(AND(H$14&gt;=8%,H$14&lt;=10%,$A15&gt;=21,$A15&lt;=30),TRUE,FALSE)</formula>
    </cfRule>
    <cfRule type="expression" dxfId="7" priority="5">
      <formula>IF(AND(H$14&gt;=6%,H$14&lt;=8%,$A15&gt;=11,$A15&lt;=15),TRUE,FALSE)</formula>
    </cfRule>
    <cfRule type="expression" dxfId="7" priority="76">
      <formula>IF(AND(H$14&gt;=8%,H$14&lt;=12%,$A15&gt;=31,$A15&lt;=45),TRUE,FALSE)</formula>
    </cfRule>
  </conditionalFormatting>
  <conditionalFormatting sqref="H15:H74 J15:P74">
    <cfRule type="cellIs" dxfId="8" priority="2" stopIfTrue="1" operator="greaterThanOrEqual">
      <formula>$K$10</formula>
    </cfRule>
  </conditionalFormatting>
  <printOptions horizontalCentered="1" verticalCentered="1"/>
  <pageMargins left="0.393700787401575" right="0" top="0.196850393700787" bottom="0.196850393700787" header="0.31496062992126" footer="0.31496062992126"/>
  <pageSetup paperSize="9" scale="89" orientation="landscape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  <pageSetUpPr fitToPage="1"/>
  </sheetPr>
  <dimension ref="B1:CQ98"/>
  <sheetViews>
    <sheetView tabSelected="1" zoomScale="77" zoomScaleNormal="77" topLeftCell="A27" workbookViewId="0">
      <selection activeCell="CH59" sqref="CH59"/>
    </sheetView>
  </sheetViews>
  <sheetFormatPr defaultColWidth="9" defaultRowHeight="20.15" customHeight="1"/>
  <cols>
    <col min="1" max="1" width="2.7962962962963" style="3" customWidth="1"/>
    <col min="2" max="2" width="2.39814814814815" style="3" customWidth="1"/>
    <col min="3" max="3" width="5" style="3" customWidth="1"/>
    <col min="4" max="4" width="16.7962962962963" style="3" customWidth="1"/>
    <col min="5" max="5" width="17.7962962962963" style="3" customWidth="1"/>
    <col min="6" max="6" width="16.2037037037037" style="3" customWidth="1"/>
    <col min="7" max="8" width="13.2037037037037" style="3" customWidth="1"/>
    <col min="9" max="9" width="6.10185185185185" style="3" customWidth="1"/>
    <col min="10" max="10" width="2.7962962962963" style="3" customWidth="1"/>
    <col min="11" max="19" width="12.3981481481481" style="3" customWidth="1"/>
    <col min="20" max="24" width="12.3981481481481" style="3" hidden="1" customWidth="1"/>
    <col min="25" max="62" width="10.7962962962963" style="3" hidden="1" customWidth="1"/>
    <col min="63" max="65" width="9.2037037037037" style="3" hidden="1" customWidth="1"/>
    <col min="66" max="66" width="9.39814814814815" style="3" hidden="1" customWidth="1"/>
    <col min="67" max="67" width="11.2037037037037" style="3" hidden="1" customWidth="1"/>
    <col min="68" max="68" width="9.39814814814815" style="3" hidden="1" customWidth="1"/>
    <col min="69" max="70" width="9.2037037037037" style="3" hidden="1" customWidth="1"/>
    <col min="71" max="71" width="26.3981481481481" style="3" hidden="1" customWidth="1"/>
    <col min="72" max="72" width="13.7962962962963" style="4" hidden="1" customWidth="1"/>
    <col min="73" max="73" width="13.7962962962963" style="3" hidden="1" customWidth="1"/>
    <col min="74" max="78" width="9.2037037037037" style="3" hidden="1" customWidth="1"/>
    <col min="79" max="79" width="37.3981481481481" style="3" hidden="1" customWidth="1"/>
    <col min="80" max="80" width="12" style="3" hidden="1" customWidth="1"/>
    <col min="81" max="81" width="10.2962962962963" style="3" hidden="1" customWidth="1"/>
    <col min="82" max="82" width="10.2962962962963" style="5" hidden="1" customWidth="1"/>
    <col min="83" max="83" width="9.2037037037037" style="3" customWidth="1"/>
    <col min="84" max="16384" width="9.2037037037037" style="3"/>
  </cols>
  <sheetData>
    <row r="1" ht="26.25" hidden="1" customHeight="1" outlineLevel="1" spans="3:60">
      <c r="C1" s="6" t="s">
        <v>85</v>
      </c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  <c r="AZ1" s="6"/>
      <c r="BA1" s="6"/>
      <c r="BB1" s="6"/>
      <c r="BC1" s="6"/>
      <c r="BD1" s="6"/>
      <c r="BE1" s="6"/>
      <c r="BF1" s="6"/>
      <c r="BG1" s="6"/>
      <c r="BH1" s="6"/>
    </row>
    <row r="2" ht="15" hidden="1" customHeight="1" outlineLevel="1" spans="2:76">
      <c r="B2" s="7"/>
      <c r="D2" s="8" t="s">
        <v>86</v>
      </c>
      <c r="BI2" s="7"/>
      <c r="BQ2" s="97"/>
      <c r="BR2" s="97"/>
      <c r="BU2" s="37"/>
      <c r="BW2" s="111"/>
      <c r="BX2" s="112"/>
    </row>
    <row r="3" ht="21" hidden="1" customHeight="1" outlineLevel="1" spans="2:76">
      <c r="B3" s="7"/>
      <c r="C3" s="7"/>
      <c r="D3" s="9"/>
      <c r="E3" s="9"/>
      <c r="F3" s="10"/>
      <c r="G3" s="11"/>
      <c r="H3" s="11"/>
      <c r="I3" s="76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Q3" s="97"/>
      <c r="BR3" s="97"/>
      <c r="BU3" s="37"/>
      <c r="BW3" s="111"/>
      <c r="BX3" s="112"/>
    </row>
    <row r="4" ht="6.75" hidden="1" customHeight="1" outlineLevel="1" spans="3:76"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  <c r="AZ4" s="6"/>
      <c r="BA4" s="6"/>
      <c r="BB4" s="6"/>
      <c r="BC4" s="6"/>
      <c r="BD4" s="6"/>
      <c r="BE4" s="6"/>
      <c r="BF4" s="6"/>
      <c r="BG4" s="6"/>
      <c r="BH4" s="6"/>
      <c r="BI4" s="7"/>
      <c r="BQ4" s="97"/>
      <c r="BR4" s="97"/>
      <c r="BU4" s="37"/>
      <c r="BW4" s="5"/>
      <c r="BX4" s="112"/>
    </row>
    <row r="5" ht="14.4" hidden="1" outlineLevel="1" spans="4:79">
      <c r="D5" s="5"/>
      <c r="E5" s="5"/>
      <c r="F5" s="12" t="s">
        <v>87</v>
      </c>
      <c r="G5" s="13">
        <f>'PFR (LINKED)'!F3</f>
        <v>55</v>
      </c>
      <c r="I5" s="77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  <c r="AA5" s="5"/>
      <c r="AB5" s="5"/>
      <c r="AC5" s="5"/>
      <c r="AD5" s="5"/>
      <c r="AE5" s="5"/>
      <c r="AF5" s="5"/>
      <c r="AG5" s="5"/>
      <c r="AH5" s="5"/>
      <c r="AI5" s="5"/>
      <c r="AJ5" s="5"/>
      <c r="AK5" s="5"/>
      <c r="AL5" s="5"/>
      <c r="AM5" s="5"/>
      <c r="AN5" s="5"/>
      <c r="AO5" s="5"/>
      <c r="AP5" s="5"/>
      <c r="AQ5" s="5"/>
      <c r="AR5" s="5"/>
      <c r="AS5" s="5"/>
      <c r="AT5" s="5"/>
      <c r="AU5" s="5"/>
      <c r="AV5" s="5"/>
      <c r="AW5" s="5"/>
      <c r="AX5" s="5"/>
      <c r="AY5" s="5"/>
      <c r="AZ5" s="5"/>
      <c r="BA5" s="5"/>
      <c r="BB5" s="5"/>
      <c r="BC5" s="5"/>
      <c r="BD5" s="5"/>
      <c r="BE5" s="5"/>
      <c r="BF5" s="5"/>
      <c r="BG5" s="5"/>
      <c r="BH5" s="5"/>
      <c r="BI5" s="5"/>
      <c r="BN5" s="4" t="s">
        <v>88</v>
      </c>
      <c r="BQ5" s="98"/>
      <c r="BR5" s="98"/>
      <c r="BS5" s="98"/>
      <c r="BU5" s="81" t="s">
        <v>89</v>
      </c>
      <c r="BV5" s="81"/>
      <c r="BW5" s="5"/>
      <c r="BX5" s="112"/>
      <c r="CA5" s="113" t="s">
        <v>90</v>
      </c>
    </row>
    <row r="6" ht="14.4" hidden="1" outlineLevel="1" spans="4:79">
      <c r="D6" s="5"/>
      <c r="E6" s="5"/>
      <c r="F6" s="322" t="s">
        <v>91</v>
      </c>
      <c r="G6" s="14">
        <f>FORM!C9+FORM!C12</f>
        <v>60</v>
      </c>
      <c r="J6" s="5"/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  <c r="AA6" s="5"/>
      <c r="AB6" s="5"/>
      <c r="AC6" s="5"/>
      <c r="AD6" s="5"/>
      <c r="AE6" s="5"/>
      <c r="AF6" s="5"/>
      <c r="AG6" s="5"/>
      <c r="AH6" s="5"/>
      <c r="AI6" s="5"/>
      <c r="AJ6" s="5"/>
      <c r="AK6" s="5"/>
      <c r="AL6" s="5"/>
      <c r="AM6" s="5"/>
      <c r="AN6" s="5"/>
      <c r="AO6" s="5"/>
      <c r="AP6" s="5"/>
      <c r="AQ6" s="5"/>
      <c r="AR6" s="5"/>
      <c r="AS6" s="5"/>
      <c r="AT6" s="5"/>
      <c r="AU6" s="5"/>
      <c r="AV6" s="5"/>
      <c r="AW6" s="5"/>
      <c r="AX6" s="5"/>
      <c r="AY6" s="5"/>
      <c r="AZ6" s="5"/>
      <c r="BA6" s="5"/>
      <c r="BB6" s="5"/>
      <c r="BC6" s="5"/>
      <c r="BD6" s="5"/>
      <c r="BE6" s="5"/>
      <c r="BF6" s="5"/>
      <c r="BG6" s="5"/>
      <c r="BH6" s="5"/>
      <c r="BI6" s="5"/>
      <c r="BU6" s="37"/>
      <c r="BW6" s="5"/>
      <c r="BX6" s="112"/>
      <c r="CA6" s="114" t="s">
        <v>92</v>
      </c>
    </row>
    <row r="7" ht="14.4" hidden="1" outlineLevel="1" spans="4:79">
      <c r="D7" s="5"/>
      <c r="E7" s="5"/>
      <c r="F7" s="15"/>
      <c r="G7" s="15"/>
      <c r="J7" s="5"/>
      <c r="K7" s="5"/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  <c r="AA7" s="5"/>
      <c r="AB7" s="5"/>
      <c r="AC7" s="5"/>
      <c r="AD7" s="5"/>
      <c r="AE7" s="5"/>
      <c r="AF7" s="5"/>
      <c r="AG7" s="5"/>
      <c r="AH7" s="5"/>
      <c r="AI7" s="5"/>
      <c r="AJ7" s="5"/>
      <c r="AK7" s="5"/>
      <c r="AL7" s="5"/>
      <c r="AM7" s="5"/>
      <c r="AN7" s="5"/>
      <c r="AO7" s="5"/>
      <c r="AP7" s="5"/>
      <c r="AQ7" s="5"/>
      <c r="AR7" s="5"/>
      <c r="AS7" s="5"/>
      <c r="AT7" s="5"/>
      <c r="AU7" s="5"/>
      <c r="AV7" s="5"/>
      <c r="AW7" s="5"/>
      <c r="AX7" s="5"/>
      <c r="AY7" s="5"/>
      <c r="AZ7" s="5"/>
      <c r="BA7" s="5"/>
      <c r="BB7" s="5"/>
      <c r="BC7" s="5"/>
      <c r="BD7" s="5"/>
      <c r="BE7" s="5"/>
      <c r="BF7" s="5"/>
      <c r="BG7" s="5"/>
      <c r="BH7" s="5"/>
      <c r="BI7" s="5"/>
      <c r="BN7" s="99">
        <f>(G10-0.00000000001)</f>
        <v>0.02999999999</v>
      </c>
      <c r="BQ7" s="3" t="s">
        <v>93</v>
      </c>
      <c r="BU7" s="115">
        <f>G5</f>
        <v>55</v>
      </c>
      <c r="BW7" s="5"/>
      <c r="BX7" s="116">
        <f>IF(BU9&lt;55,(BU9-BU7),(55-BU7))</f>
        <v>0</v>
      </c>
      <c r="CA7" s="114" t="s">
        <v>94</v>
      </c>
    </row>
    <row r="8" ht="14.4" hidden="1" outlineLevel="1" spans="4:79">
      <c r="D8" s="5"/>
      <c r="E8" s="5"/>
      <c r="F8" s="16" t="s">
        <v>95</v>
      </c>
      <c r="G8" s="17"/>
      <c r="H8" s="12" t="s">
        <v>96</v>
      </c>
      <c r="I8" s="19">
        <v>0.055</v>
      </c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  <c r="BB8" s="5"/>
      <c r="BC8" s="5"/>
      <c r="BD8" s="5"/>
      <c r="BE8" s="5"/>
      <c r="BF8" s="5"/>
      <c r="BG8" s="5"/>
      <c r="BH8" s="5"/>
      <c r="BI8" s="5"/>
      <c r="BU8" s="37"/>
      <c r="BW8" s="5"/>
      <c r="BX8" s="112"/>
      <c r="CA8" s="114" t="s">
        <v>97</v>
      </c>
    </row>
    <row r="9" ht="14.4" hidden="1" outlineLevel="1" spans="4:79">
      <c r="D9" s="5"/>
      <c r="E9" s="5"/>
      <c r="F9" s="16" t="s">
        <v>98</v>
      </c>
      <c r="G9" s="18"/>
      <c r="H9" s="12" t="s">
        <v>96</v>
      </c>
      <c r="I9" s="78">
        <v>0.055</v>
      </c>
      <c r="J9" s="5"/>
      <c r="K9" s="5"/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  <c r="AA9" s="5"/>
      <c r="AB9" s="5"/>
      <c r="AC9" s="5"/>
      <c r="AD9" s="5"/>
      <c r="AE9" s="5"/>
      <c r="AF9" s="5"/>
      <c r="AG9" s="5"/>
      <c r="AH9" s="5"/>
      <c r="AI9" s="5"/>
      <c r="AJ9" s="5"/>
      <c r="AK9" s="5"/>
      <c r="AL9" s="5"/>
      <c r="AM9" s="5"/>
      <c r="AN9" s="5"/>
      <c r="AO9" s="5"/>
      <c r="AP9" s="5"/>
      <c r="AQ9" s="5"/>
      <c r="AR9" s="5"/>
      <c r="AS9" s="5"/>
      <c r="AT9" s="5"/>
      <c r="AU9" s="5"/>
      <c r="AV9" s="5"/>
      <c r="AW9" s="5"/>
      <c r="AX9" s="5"/>
      <c r="AY9" s="5"/>
      <c r="AZ9" s="5"/>
      <c r="BA9" s="5"/>
      <c r="BB9" s="5"/>
      <c r="BC9" s="5"/>
      <c r="BD9" s="5"/>
      <c r="BE9" s="5"/>
      <c r="BF9" s="5"/>
      <c r="BG9" s="5"/>
      <c r="BH9" s="5"/>
      <c r="BI9" s="5"/>
      <c r="BQ9" s="3" t="s">
        <v>99</v>
      </c>
      <c r="BT9" s="100"/>
      <c r="BU9" s="117">
        <f>G6</f>
        <v>60</v>
      </c>
      <c r="BV9" s="111"/>
      <c r="BW9" s="5"/>
      <c r="BX9" s="116">
        <f>IF(BU9&lt;55,(55-BU9),0)</f>
        <v>0</v>
      </c>
      <c r="CA9" s="118" t="s">
        <v>100</v>
      </c>
    </row>
    <row r="10" ht="14.4" hidden="1" outlineLevel="1" spans="4:79">
      <c r="D10" s="5"/>
      <c r="E10" s="5"/>
      <c r="F10" s="12" t="s">
        <v>101</v>
      </c>
      <c r="G10" s="19">
        <v>0.03</v>
      </c>
      <c r="H10" s="1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5"/>
      <c r="AI10" s="5"/>
      <c r="AJ10" s="5"/>
      <c r="AK10" s="5"/>
      <c r="AL10" s="5"/>
      <c r="AM10" s="5"/>
      <c r="AN10" s="5"/>
      <c r="AO10" s="5"/>
      <c r="AP10" s="5"/>
      <c r="AQ10" s="5"/>
      <c r="AR10" s="5"/>
      <c r="AS10" s="5"/>
      <c r="AT10" s="5"/>
      <c r="AU10" s="5"/>
      <c r="AV10" s="5"/>
      <c r="AW10" s="5"/>
      <c r="AX10" s="5"/>
      <c r="AY10" s="5"/>
      <c r="AZ10" s="5"/>
      <c r="BA10" s="5"/>
      <c r="BB10" s="5"/>
      <c r="BC10" s="5"/>
      <c r="BD10" s="5"/>
      <c r="BE10" s="5"/>
      <c r="BF10" s="5"/>
      <c r="BG10" s="5"/>
      <c r="BH10" s="5"/>
      <c r="BI10" s="5"/>
      <c r="BU10" s="37"/>
      <c r="BW10" s="5"/>
      <c r="BX10" s="112"/>
      <c r="CA10" s="114" t="s">
        <v>102</v>
      </c>
    </row>
    <row r="11" ht="14.4" hidden="1" outlineLevel="1" spans="4:79">
      <c r="D11" s="5"/>
      <c r="E11" s="5"/>
      <c r="F11" s="12" t="s">
        <v>103</v>
      </c>
      <c r="G11" s="19">
        <v>0.03</v>
      </c>
      <c r="H11" s="15"/>
      <c r="J11" s="79"/>
      <c r="K11" s="79"/>
      <c r="L11" s="79"/>
      <c r="M11" s="79"/>
      <c r="N11" s="79"/>
      <c r="O11" s="79"/>
      <c r="P11" s="79"/>
      <c r="Q11" s="79"/>
      <c r="R11" s="79"/>
      <c r="S11" s="79"/>
      <c r="T11" s="79"/>
      <c r="U11" s="79"/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9"/>
      <c r="AL11" s="79"/>
      <c r="AM11" s="79"/>
      <c r="AN11" s="79"/>
      <c r="AO11" s="79"/>
      <c r="AP11" s="79"/>
      <c r="AQ11" s="79"/>
      <c r="AR11" s="79"/>
      <c r="AS11" s="79"/>
      <c r="AT11" s="79"/>
      <c r="AU11" s="79"/>
      <c r="AV11" s="79"/>
      <c r="AW11" s="79"/>
      <c r="AX11" s="79"/>
      <c r="AY11" s="79"/>
      <c r="AZ11" s="79"/>
      <c r="BA11" s="79"/>
      <c r="BB11" s="79"/>
      <c r="BC11" s="79"/>
      <c r="BD11" s="79"/>
      <c r="BE11" s="79"/>
      <c r="BF11" s="79"/>
      <c r="BG11" s="79"/>
      <c r="BH11" s="79"/>
      <c r="BI11" s="79"/>
      <c r="BQ11" s="101" t="s">
        <v>104</v>
      </c>
      <c r="BR11" s="101"/>
      <c r="BS11" s="101"/>
      <c r="BT11" s="102">
        <f>IF(I8&lt;=0,0.00000000001,I8)</f>
        <v>0.055</v>
      </c>
      <c r="BU11" s="115">
        <f>G8</f>
        <v>0</v>
      </c>
      <c r="BV11" s="119"/>
      <c r="BW11" s="5"/>
      <c r="BX11" s="112"/>
      <c r="CA11" s="114" t="s">
        <v>105</v>
      </c>
    </row>
    <row r="12" ht="14.4" hidden="1" outlineLevel="1" spans="4:79">
      <c r="D12" s="5"/>
      <c r="E12" s="20"/>
      <c r="F12" s="322" t="s">
        <v>106</v>
      </c>
      <c r="G12" s="21">
        <f>'PFR (LINKED)'!G10</f>
        <v>72000</v>
      </c>
      <c r="H12" s="1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5"/>
      <c r="AI12" s="5"/>
      <c r="AJ12" s="5"/>
      <c r="AK12" s="5"/>
      <c r="AL12" s="5"/>
      <c r="AM12" s="5"/>
      <c r="AN12" s="5"/>
      <c r="AO12" s="5"/>
      <c r="AP12" s="5"/>
      <c r="AQ12" s="5"/>
      <c r="AR12" s="5"/>
      <c r="AS12" s="5"/>
      <c r="AT12" s="5"/>
      <c r="AU12" s="5"/>
      <c r="AV12" s="5"/>
      <c r="AW12" s="5"/>
      <c r="AX12" s="5"/>
      <c r="AY12" s="5"/>
      <c r="AZ12" s="5"/>
      <c r="BA12" s="5"/>
      <c r="BB12" s="5"/>
      <c r="BC12" s="5"/>
      <c r="BD12" s="5"/>
      <c r="BE12" s="5"/>
      <c r="BF12" s="5"/>
      <c r="BG12" s="5"/>
      <c r="BH12" s="5"/>
      <c r="BI12" s="5"/>
      <c r="BT12" s="103"/>
      <c r="BU12" s="120"/>
      <c r="BV12" s="119"/>
      <c r="BW12" s="5"/>
      <c r="BX12" s="112"/>
      <c r="CA12" s="114" t="s">
        <v>107</v>
      </c>
    </row>
    <row r="13" ht="14.4" hidden="1" outlineLevel="1" spans="4:79">
      <c r="D13" s="5"/>
      <c r="E13" s="20"/>
      <c r="F13" s="12"/>
      <c r="G13" s="22"/>
      <c r="H13" s="15"/>
      <c r="BQ13" s="3" t="s">
        <v>108</v>
      </c>
      <c r="BT13" s="102">
        <f>IF(I9&lt;=0,0.00000000001,I9)</f>
        <v>0.055</v>
      </c>
      <c r="BU13" s="115">
        <f>G9</f>
        <v>0</v>
      </c>
      <c r="BV13" s="119"/>
      <c r="BW13" s="121"/>
      <c r="BX13" s="112"/>
      <c r="CA13" s="122" t="s">
        <v>109</v>
      </c>
    </row>
    <row r="14" ht="14.4" hidden="1" outlineLevel="1" spans="4:79">
      <c r="D14" s="323" t="s">
        <v>110</v>
      </c>
      <c r="E14" s="23"/>
      <c r="F14" s="23"/>
      <c r="G14" s="24">
        <f>'PFR (LINKED)'!F12</f>
        <v>1000000</v>
      </c>
      <c r="H14" s="12" t="s">
        <v>96</v>
      </c>
      <c r="I14" s="19">
        <f>'PFR (LINKED)'!L2</f>
        <v>0.07</v>
      </c>
      <c r="BT14" s="104"/>
      <c r="BU14" s="107"/>
      <c r="BV14" s="119"/>
      <c r="BW14" s="121"/>
      <c r="BX14" s="112"/>
      <c r="CA14" s="114" t="s">
        <v>111</v>
      </c>
    </row>
    <row r="15" ht="14.4" hidden="1" outlineLevel="1" spans="4:79">
      <c r="D15" s="23"/>
      <c r="E15" s="23"/>
      <c r="F15" s="25" t="s">
        <v>112</v>
      </c>
      <c r="G15" s="24"/>
      <c r="H15" s="12" t="s">
        <v>96</v>
      </c>
      <c r="I15" s="19">
        <v>0</v>
      </c>
      <c r="BT15" s="104"/>
      <c r="BU15" s="107"/>
      <c r="BV15" s="119"/>
      <c r="BW15" s="121"/>
      <c r="BX15" s="112"/>
      <c r="CA15" s="114" t="s">
        <v>113</v>
      </c>
    </row>
    <row r="16" ht="14.4" hidden="1" outlineLevel="1" spans="6:79">
      <c r="F16" s="324" t="s">
        <v>114</v>
      </c>
      <c r="G16" s="24"/>
      <c r="H16" s="12" t="s">
        <v>96</v>
      </c>
      <c r="I16" s="19">
        <v>0</v>
      </c>
      <c r="BU16" s="107"/>
      <c r="BW16" s="5"/>
      <c r="BX16" s="112"/>
      <c r="CA16" s="123" t="s">
        <v>115</v>
      </c>
    </row>
    <row r="17" ht="41.25" hidden="1" customHeight="1" outlineLevel="1" spans="2:79">
      <c r="B17" s="26" t="s">
        <v>116</v>
      </c>
      <c r="C17" s="27"/>
      <c r="D17" s="28">
        <v>0</v>
      </c>
      <c r="E17" s="29" t="s">
        <v>117</v>
      </c>
      <c r="F17" s="17">
        <v>0</v>
      </c>
      <c r="G17" s="30">
        <f>D17-F17</f>
        <v>0</v>
      </c>
      <c r="H17" s="12" t="s">
        <v>96</v>
      </c>
      <c r="I17" s="19">
        <v>0</v>
      </c>
      <c r="BQ17" s="3" t="s">
        <v>118</v>
      </c>
      <c r="BU17" s="124">
        <f>BN7</f>
        <v>0.02999999999</v>
      </c>
      <c r="BV17" s="99"/>
      <c r="BW17" s="5"/>
      <c r="BX17" s="112"/>
      <c r="CA17" s="123" t="s">
        <v>119</v>
      </c>
    </row>
    <row r="18" ht="14.4" hidden="1" outlineLevel="1" spans="6:79">
      <c r="F18" s="12" t="s">
        <v>120</v>
      </c>
      <c r="G18" s="24">
        <v>0</v>
      </c>
      <c r="H18" s="12" t="s">
        <v>96</v>
      </c>
      <c r="I18" s="19">
        <v>0</v>
      </c>
      <c r="BU18" s="125"/>
      <c r="BW18" s="5"/>
      <c r="BX18" s="112"/>
      <c r="CA18" s="123" t="s">
        <v>121</v>
      </c>
    </row>
    <row r="19" ht="14.4" hidden="1" outlineLevel="1" spans="6:79">
      <c r="F19" s="12" t="s">
        <v>122</v>
      </c>
      <c r="G19" s="17">
        <f>'PFR (LINKED)'!F13</f>
        <v>0</v>
      </c>
      <c r="H19" s="12" t="s">
        <v>96</v>
      </c>
      <c r="I19" s="19">
        <f>'PFR (LINKED)'!L2</f>
        <v>0.07</v>
      </c>
      <c r="BU19" s="125"/>
      <c r="BW19" s="5"/>
      <c r="BX19" s="112"/>
      <c r="CA19" s="123" t="s">
        <v>123</v>
      </c>
    </row>
    <row r="20" ht="14.4" hidden="1" outlineLevel="1" spans="6:79">
      <c r="F20" s="12" t="s">
        <v>124</v>
      </c>
      <c r="G20" s="17">
        <v>0</v>
      </c>
      <c r="H20" s="12" t="s">
        <v>96</v>
      </c>
      <c r="I20" s="19">
        <v>0</v>
      </c>
      <c r="BU20" s="125"/>
      <c r="BW20" s="5"/>
      <c r="BX20" s="112"/>
      <c r="CA20" s="114" t="s">
        <v>125</v>
      </c>
    </row>
    <row r="21" ht="14.4" hidden="1" outlineLevel="1" spans="6:79">
      <c r="F21" s="322" t="s">
        <v>126</v>
      </c>
      <c r="G21" s="31">
        <f>'PFR (LINKED)'!L2</f>
        <v>0.07</v>
      </c>
      <c r="I21" s="80"/>
      <c r="BQ21" s="3" t="s">
        <v>127</v>
      </c>
      <c r="BU21" s="115">
        <f>G12</f>
        <v>72000</v>
      </c>
      <c r="BV21" s="126"/>
      <c r="BW21" s="5"/>
      <c r="BX21" s="112"/>
      <c r="CA21" s="114" t="s">
        <v>128</v>
      </c>
    </row>
    <row r="22" ht="14.4" hidden="1" outlineLevel="1" spans="6:79">
      <c r="F22" s="15"/>
      <c r="BU22" s="37"/>
      <c r="BW22" s="5"/>
      <c r="BX22" s="112"/>
      <c r="CA22" s="114" t="s">
        <v>129</v>
      </c>
    </row>
    <row r="23" ht="16.5" hidden="1" customHeight="1" outlineLevel="1" spans="6:79">
      <c r="F23" s="322" t="s">
        <v>130</v>
      </c>
      <c r="G23" s="32">
        <f>BO31</f>
        <v>1402551.7307</v>
      </c>
      <c r="BQ23" s="3" t="s">
        <v>131</v>
      </c>
      <c r="BU23" s="124">
        <f>G11</f>
        <v>0.03</v>
      </c>
      <c r="BV23" s="127" t="s">
        <v>132</v>
      </c>
      <c r="BW23" s="5"/>
      <c r="BX23" s="112"/>
      <c r="CA23" s="114" t="s">
        <v>133</v>
      </c>
    </row>
    <row r="24" ht="16.5" hidden="1" customHeight="1" outlineLevel="1" spans="6:79">
      <c r="F24" s="322" t="s">
        <v>134</v>
      </c>
      <c r="G24" s="32">
        <f>BO32</f>
        <v>0</v>
      </c>
      <c r="BQ24" s="4" t="s">
        <v>135</v>
      </c>
      <c r="BR24" s="4"/>
      <c r="BS24" s="4"/>
      <c r="BT24" s="102">
        <f t="shared" ref="BT24:BT29" si="0">IF(I14&lt;=0,0.00000000001,I14)</f>
        <v>0.07</v>
      </c>
      <c r="BU24" s="115">
        <f t="shared" ref="BU24:BU29" si="1">G14</f>
        <v>1000000</v>
      </c>
      <c r="BV24" s="128"/>
      <c r="BW24" s="5"/>
      <c r="BX24" s="112"/>
      <c r="CA24" s="114" t="s">
        <v>136</v>
      </c>
    </row>
    <row r="25" ht="16.5" hidden="1" customHeight="1" outlineLevel="1" spans="6:79">
      <c r="F25" s="12"/>
      <c r="G25" s="33"/>
      <c r="BQ25" s="3" t="s">
        <v>137</v>
      </c>
      <c r="BT25" s="105">
        <f t="shared" si="0"/>
        <v>1e-11</v>
      </c>
      <c r="BU25" s="129">
        <f t="shared" si="1"/>
        <v>0</v>
      </c>
      <c r="BV25" s="128">
        <f>1+BT25</f>
        <v>1.00000000001</v>
      </c>
      <c r="BW25" s="5"/>
      <c r="BX25" s="112"/>
      <c r="CA25" s="114" t="s">
        <v>138</v>
      </c>
    </row>
    <row r="26" ht="16.5" hidden="1" customHeight="1" outlineLevel="1" spans="9:79">
      <c r="I26" s="81"/>
      <c r="J26" s="82"/>
      <c r="K26" s="82"/>
      <c r="L26" s="82"/>
      <c r="M26" s="82"/>
      <c r="N26" s="82"/>
      <c r="O26" s="82"/>
      <c r="P26" s="82"/>
      <c r="Q26" s="82"/>
      <c r="R26" s="82"/>
      <c r="S26" s="82"/>
      <c r="T26" s="82"/>
      <c r="U26" s="82"/>
      <c r="V26" s="82"/>
      <c r="W26" s="82"/>
      <c r="X26" s="82"/>
      <c r="Y26" s="82"/>
      <c r="Z26" s="82"/>
      <c r="AA26" s="82"/>
      <c r="AB26" s="82"/>
      <c r="AC26" s="82"/>
      <c r="AD26" s="82"/>
      <c r="AE26" s="82"/>
      <c r="AF26" s="82"/>
      <c r="AG26" s="82"/>
      <c r="AH26" s="82"/>
      <c r="AI26" s="82"/>
      <c r="AJ26" s="82"/>
      <c r="AK26" s="82"/>
      <c r="AL26" s="82"/>
      <c r="AM26" s="82"/>
      <c r="AN26" s="82"/>
      <c r="AO26" s="82"/>
      <c r="AP26" s="82"/>
      <c r="AQ26" s="82"/>
      <c r="AR26" s="82"/>
      <c r="AS26" s="82"/>
      <c r="AT26" s="82"/>
      <c r="AU26" s="82"/>
      <c r="AV26" s="82"/>
      <c r="AW26" s="82"/>
      <c r="AX26" s="82"/>
      <c r="AY26" s="82"/>
      <c r="AZ26" s="82"/>
      <c r="BA26" s="82"/>
      <c r="BB26" s="82"/>
      <c r="BC26" s="82"/>
      <c r="BD26" s="82"/>
      <c r="BE26" s="82"/>
      <c r="BF26" s="82"/>
      <c r="BG26" s="82"/>
      <c r="BH26" s="82"/>
      <c r="BI26" s="82"/>
      <c r="BN26" s="82"/>
      <c r="BO26" s="82"/>
      <c r="BQ26" s="3" t="s">
        <v>139</v>
      </c>
      <c r="BT26" s="102">
        <f t="shared" si="0"/>
        <v>1e-11</v>
      </c>
      <c r="BU26" s="115">
        <f t="shared" si="1"/>
        <v>0</v>
      </c>
      <c r="BV26" s="128"/>
      <c r="BW26" s="5"/>
      <c r="BX26" s="116">
        <f>IF(BU9&gt;55,(BU9-55),0)</f>
        <v>5</v>
      </c>
      <c r="CA26" s="114" t="s">
        <v>140</v>
      </c>
    </row>
    <row r="27" ht="7.75" customHeight="1" collapsed="1" spans="4:79">
      <c r="D27" s="34"/>
      <c r="E27" s="35"/>
      <c r="F27" s="36"/>
      <c r="G27" s="37"/>
      <c r="H27" s="37"/>
      <c r="I27" s="37"/>
      <c r="J27" s="82"/>
      <c r="K27" s="82"/>
      <c r="L27" s="82"/>
      <c r="M27" s="82"/>
      <c r="N27" s="82"/>
      <c r="O27" s="82"/>
      <c r="P27" s="82"/>
      <c r="Q27" s="82"/>
      <c r="R27" s="82"/>
      <c r="S27" s="82"/>
      <c r="T27" s="82"/>
      <c r="U27" s="82"/>
      <c r="V27" s="82"/>
      <c r="W27" s="82"/>
      <c r="X27" s="82"/>
      <c r="Y27" s="82"/>
      <c r="Z27" s="82"/>
      <c r="AA27" s="82"/>
      <c r="AB27" s="82"/>
      <c r="AC27" s="82"/>
      <c r="AD27" s="82"/>
      <c r="AE27" s="82"/>
      <c r="AF27" s="82"/>
      <c r="AG27" s="82"/>
      <c r="AH27" s="82"/>
      <c r="AI27" s="82"/>
      <c r="AJ27" s="82"/>
      <c r="AK27" s="82"/>
      <c r="AL27" s="82"/>
      <c r="AM27" s="82"/>
      <c r="AN27" s="82"/>
      <c r="AO27" s="82"/>
      <c r="AP27" s="82"/>
      <c r="AQ27" s="82"/>
      <c r="AR27" s="82"/>
      <c r="AS27" s="82"/>
      <c r="AT27" s="82"/>
      <c r="AU27" s="82"/>
      <c r="AV27" s="82"/>
      <c r="AW27" s="82"/>
      <c r="AX27" s="82"/>
      <c r="AY27" s="82"/>
      <c r="AZ27" s="82"/>
      <c r="BA27" s="82"/>
      <c r="BB27" s="82"/>
      <c r="BC27" s="82"/>
      <c r="BD27" s="82"/>
      <c r="BE27" s="82"/>
      <c r="BF27" s="82"/>
      <c r="BG27" s="82"/>
      <c r="BH27" s="82"/>
      <c r="BI27" s="82"/>
      <c r="BN27" s="82"/>
      <c r="BO27" s="82"/>
      <c r="BQ27" s="3" t="s">
        <v>141</v>
      </c>
      <c r="BT27" s="102">
        <f t="shared" si="0"/>
        <v>1e-11</v>
      </c>
      <c r="BU27" s="115">
        <f t="shared" si="1"/>
        <v>0</v>
      </c>
      <c r="BV27" s="128"/>
      <c r="BW27" s="5"/>
      <c r="BX27" s="116"/>
      <c r="CA27" s="114" t="s">
        <v>142</v>
      </c>
    </row>
    <row r="28" ht="4.25" customHeight="1" spans="4:79">
      <c r="D28" s="38"/>
      <c r="E28" s="15"/>
      <c r="F28" s="4"/>
      <c r="G28" s="39"/>
      <c r="H28" s="15"/>
      <c r="I28" s="38"/>
      <c r="J28" s="83"/>
      <c r="K28" s="83"/>
      <c r="L28" s="83"/>
      <c r="M28" s="83"/>
      <c r="N28" s="83"/>
      <c r="O28" s="83"/>
      <c r="P28" s="83"/>
      <c r="Q28" s="83"/>
      <c r="R28" s="83"/>
      <c r="S28" s="83"/>
      <c r="T28" s="83"/>
      <c r="U28" s="83"/>
      <c r="V28" s="83"/>
      <c r="W28" s="83"/>
      <c r="X28" s="83"/>
      <c r="Y28" s="83"/>
      <c r="Z28" s="83"/>
      <c r="AA28" s="83"/>
      <c r="AB28" s="83"/>
      <c r="AC28" s="83"/>
      <c r="AD28" s="83"/>
      <c r="AE28" s="83"/>
      <c r="AF28" s="83"/>
      <c r="AG28" s="83"/>
      <c r="AH28" s="83"/>
      <c r="AI28" s="83"/>
      <c r="AJ28" s="83"/>
      <c r="AK28" s="83"/>
      <c r="AL28" s="83"/>
      <c r="AM28" s="83"/>
      <c r="AN28" s="83"/>
      <c r="AO28" s="83"/>
      <c r="AP28" s="83"/>
      <c r="AQ28" s="83"/>
      <c r="AR28" s="83"/>
      <c r="AS28" s="83"/>
      <c r="AT28" s="83"/>
      <c r="AU28" s="83"/>
      <c r="AV28" s="83"/>
      <c r="AW28" s="83"/>
      <c r="AX28" s="83"/>
      <c r="AY28" s="83"/>
      <c r="AZ28" s="83"/>
      <c r="BA28" s="83"/>
      <c r="BB28" s="83"/>
      <c r="BC28" s="83"/>
      <c r="BD28" s="83"/>
      <c r="BE28" s="83"/>
      <c r="BF28" s="83"/>
      <c r="BG28" s="83"/>
      <c r="BH28" s="83"/>
      <c r="BI28" s="20"/>
      <c r="BN28" s="20"/>
      <c r="BQ28" s="3" t="s">
        <v>143</v>
      </c>
      <c r="BT28" s="102">
        <f t="shared" si="0"/>
        <v>1e-11</v>
      </c>
      <c r="BU28" s="115">
        <f t="shared" si="1"/>
        <v>0</v>
      </c>
      <c r="BV28" s="128"/>
      <c r="BW28" s="5"/>
      <c r="BX28" s="112"/>
      <c r="CA28" s="114" t="s">
        <v>144</v>
      </c>
    </row>
    <row r="29" ht="4.25" customHeight="1" spans="4:79">
      <c r="D29" s="40"/>
      <c r="E29" s="40"/>
      <c r="F29" s="40"/>
      <c r="G29" s="40"/>
      <c r="H29" s="40"/>
      <c r="I29" s="40"/>
      <c r="J29" s="20"/>
      <c r="K29" s="20"/>
      <c r="L29" s="20"/>
      <c r="M29" s="20"/>
      <c r="N29" s="20"/>
      <c r="O29" s="20"/>
      <c r="P29" s="20"/>
      <c r="Q29" s="20"/>
      <c r="R29" s="20"/>
      <c r="S29" s="20"/>
      <c r="T29" s="20"/>
      <c r="U29" s="20"/>
      <c r="V29" s="20"/>
      <c r="W29" s="20"/>
      <c r="X29" s="20"/>
      <c r="Y29" s="20"/>
      <c r="Z29" s="20"/>
      <c r="AA29" s="20"/>
      <c r="AB29" s="20"/>
      <c r="AC29" s="20"/>
      <c r="AD29" s="20"/>
      <c r="AE29" s="20"/>
      <c r="AF29" s="20"/>
      <c r="AG29" s="20"/>
      <c r="AH29" s="20"/>
      <c r="AI29" s="20"/>
      <c r="AJ29" s="20"/>
      <c r="AK29" s="20"/>
      <c r="AL29" s="20"/>
      <c r="AM29" s="20"/>
      <c r="AN29" s="20"/>
      <c r="AO29" s="20"/>
      <c r="AP29" s="20"/>
      <c r="AQ29" s="20"/>
      <c r="AR29" s="20"/>
      <c r="AS29" s="20"/>
      <c r="AT29" s="20"/>
      <c r="AU29" s="20"/>
      <c r="AV29" s="20"/>
      <c r="AW29" s="20"/>
      <c r="AX29" s="20"/>
      <c r="AY29" s="20"/>
      <c r="AZ29" s="20"/>
      <c r="BA29" s="20"/>
      <c r="BB29" s="20"/>
      <c r="BC29" s="20"/>
      <c r="BD29" s="20"/>
      <c r="BE29" s="20"/>
      <c r="BF29" s="20"/>
      <c r="BG29" s="20"/>
      <c r="BH29" s="20"/>
      <c r="BI29" s="20"/>
      <c r="BN29" s="20"/>
      <c r="BQ29" s="3" t="s">
        <v>145</v>
      </c>
      <c r="BT29" s="105">
        <f t="shared" si="0"/>
        <v>0.07</v>
      </c>
      <c r="BU29" s="129">
        <f t="shared" si="1"/>
        <v>0</v>
      </c>
      <c r="BV29" s="128">
        <f>1+(BT29/12)</f>
        <v>1.00583333333333</v>
      </c>
      <c r="BW29" s="5"/>
      <c r="BX29" s="112"/>
      <c r="CA29" s="130" t="s">
        <v>146</v>
      </c>
    </row>
    <row r="30" ht="16.5" customHeight="1" spans="2:79">
      <c r="B30" s="41" t="s">
        <v>147</v>
      </c>
      <c r="C30" s="41"/>
      <c r="D30" s="41"/>
      <c r="E30" s="41"/>
      <c r="F30" s="41"/>
      <c r="G30" s="41"/>
      <c r="H30" s="41"/>
      <c r="I30" s="41"/>
      <c r="J30" s="41"/>
      <c r="K30" s="4"/>
      <c r="L30" s="84"/>
      <c r="M30" s="41"/>
      <c r="N30" s="41"/>
      <c r="O30" s="41"/>
      <c r="P30" s="41"/>
      <c r="Q30" s="41"/>
      <c r="R30" s="41"/>
      <c r="S30" s="41"/>
      <c r="T30" s="41"/>
      <c r="U30" s="41"/>
      <c r="V30" s="41"/>
      <c r="W30" s="41"/>
      <c r="X30" s="41"/>
      <c r="Y30" s="41"/>
      <c r="Z30" s="41"/>
      <c r="AA30" s="41"/>
      <c r="AB30" s="41"/>
      <c r="AC30" s="41"/>
      <c r="AD30" s="41"/>
      <c r="AE30" s="41"/>
      <c r="AF30" s="41"/>
      <c r="AG30" s="41"/>
      <c r="AH30" s="41"/>
      <c r="AI30" s="41"/>
      <c r="AJ30" s="41"/>
      <c r="AK30" s="41"/>
      <c r="AL30" s="41"/>
      <c r="AM30" s="41"/>
      <c r="AN30" s="41"/>
      <c r="AO30" s="41"/>
      <c r="AP30" s="41"/>
      <c r="AQ30" s="41"/>
      <c r="AR30" s="41"/>
      <c r="AS30" s="41"/>
      <c r="AT30" s="41"/>
      <c r="AU30" s="41"/>
      <c r="AV30" s="41"/>
      <c r="AW30" s="41"/>
      <c r="AX30" s="41"/>
      <c r="AY30" s="41"/>
      <c r="AZ30" s="41"/>
      <c r="BA30" s="41"/>
      <c r="BB30" s="41"/>
      <c r="BC30" s="41"/>
      <c r="BD30" s="41"/>
      <c r="BE30" s="41"/>
      <c r="BF30" s="41"/>
      <c r="BG30" s="41"/>
      <c r="BH30" s="41"/>
      <c r="BI30" s="20"/>
      <c r="BN30" s="20"/>
      <c r="BP30" s="37"/>
      <c r="BT30" s="103"/>
      <c r="BU30" s="107"/>
      <c r="BV30" s="131"/>
      <c r="BW30" s="5"/>
      <c r="BX30" s="112"/>
      <c r="CA30" s="114" t="s">
        <v>148</v>
      </c>
    </row>
    <row r="31" ht="16.5" customHeight="1" spans="26:79">
      <c r="Z31" s="3" t="s">
        <v>149</v>
      </c>
      <c r="AS31" s="3" t="s">
        <v>150</v>
      </c>
      <c r="BN31" s="4" t="s">
        <v>151</v>
      </c>
      <c r="BO31" s="106">
        <f>BU43+BU46+BU49</f>
        <v>1402551.7307</v>
      </c>
      <c r="BP31" s="107">
        <v>1</v>
      </c>
      <c r="BQ31" s="3" t="s">
        <v>152</v>
      </c>
      <c r="BT31" s="105">
        <f>IF(I20&lt;=0,0.00000000001,I20)</f>
        <v>1e-11</v>
      </c>
      <c r="BU31" s="129">
        <f>G20</f>
        <v>0</v>
      </c>
      <c r="BV31" s="128">
        <f>1+BT31</f>
        <v>1.00000000001</v>
      </c>
      <c r="BW31" s="5"/>
      <c r="BX31" s="112"/>
      <c r="CA31" s="114" t="s">
        <v>153</v>
      </c>
    </row>
    <row r="32" ht="15" customHeight="1" spans="3:79">
      <c r="C32" s="42" t="s">
        <v>17</v>
      </c>
      <c r="D32" s="43" t="s">
        <v>154</v>
      </c>
      <c r="E32" s="44" t="s">
        <v>155</v>
      </c>
      <c r="F32" s="45" t="s">
        <v>156</v>
      </c>
      <c r="G32" s="46" t="s">
        <v>157</v>
      </c>
      <c r="H32" s="47" t="s">
        <v>158</v>
      </c>
      <c r="K32" s="85" t="str">
        <f>IF(C36=0,"Invalid Project","")</f>
        <v/>
      </c>
      <c r="L32" s="85"/>
      <c r="M32" s="85"/>
      <c r="Y32" s="86"/>
      <c r="Z32" s="87">
        <v>1</v>
      </c>
      <c r="AA32" s="87">
        <v>2</v>
      </c>
      <c r="AB32" s="87">
        <v>3</v>
      </c>
      <c r="AC32" s="87">
        <v>4</v>
      </c>
      <c r="AD32" s="87">
        <v>5</v>
      </c>
      <c r="AE32" s="87">
        <v>6</v>
      </c>
      <c r="AF32" s="87">
        <v>7</v>
      </c>
      <c r="AG32" s="87">
        <v>8</v>
      </c>
      <c r="AH32" s="87">
        <v>9</v>
      </c>
      <c r="AI32" s="87">
        <v>10</v>
      </c>
      <c r="AJ32" s="87">
        <v>11</v>
      </c>
      <c r="AK32" s="87">
        <v>12</v>
      </c>
      <c r="AL32" s="87">
        <v>13</v>
      </c>
      <c r="AM32" s="87">
        <v>14</v>
      </c>
      <c r="AN32" s="87">
        <v>15</v>
      </c>
      <c r="AO32" s="87">
        <v>16</v>
      </c>
      <c r="AP32" s="87">
        <v>17</v>
      </c>
      <c r="AQ32" s="87">
        <v>18</v>
      </c>
      <c r="AS32" s="93">
        <v>1</v>
      </c>
      <c r="AT32" s="93">
        <v>2</v>
      </c>
      <c r="AU32" s="93">
        <v>3</v>
      </c>
      <c r="AV32" s="93">
        <v>4</v>
      </c>
      <c r="AW32" s="93">
        <v>5</v>
      </c>
      <c r="AX32" s="93">
        <v>6</v>
      </c>
      <c r="AY32" s="93">
        <v>7</v>
      </c>
      <c r="AZ32" s="93">
        <v>8</v>
      </c>
      <c r="BA32" s="93">
        <v>9</v>
      </c>
      <c r="BB32" s="93">
        <v>10</v>
      </c>
      <c r="BC32" s="93">
        <v>11</v>
      </c>
      <c r="BD32" s="93">
        <v>12</v>
      </c>
      <c r="BE32" s="93">
        <v>13</v>
      </c>
      <c r="BF32" s="93">
        <v>14</v>
      </c>
      <c r="BG32" s="93">
        <v>15</v>
      </c>
      <c r="BH32" s="93">
        <v>16</v>
      </c>
      <c r="BI32" s="93">
        <v>17</v>
      </c>
      <c r="BJ32" s="93">
        <v>18</v>
      </c>
      <c r="BN32" s="4" t="s">
        <v>159</v>
      </c>
      <c r="BO32" s="108">
        <f>BU40</f>
        <v>0</v>
      </c>
      <c r="BP32" s="107">
        <v>2</v>
      </c>
      <c r="BU32" s="37"/>
      <c r="BW32" s="5"/>
      <c r="BX32" s="112"/>
      <c r="CA32" s="114" t="s">
        <v>160</v>
      </c>
    </row>
    <row r="33" ht="15" customHeight="1" spans="3:79">
      <c r="C33" s="48"/>
      <c r="D33" s="49"/>
      <c r="E33" s="50"/>
      <c r="F33" s="51"/>
      <c r="G33" s="52"/>
      <c r="H33" s="53"/>
      <c r="Y33" s="88"/>
      <c r="Z33" s="89"/>
      <c r="AA33" s="89"/>
      <c r="AB33" s="89"/>
      <c r="AC33" s="89"/>
      <c r="AD33" s="89"/>
      <c r="AE33" s="89"/>
      <c r="AF33" s="89"/>
      <c r="AG33" s="89"/>
      <c r="AH33" s="89"/>
      <c r="AI33" s="89"/>
      <c r="AJ33" s="89"/>
      <c r="AK33" s="89"/>
      <c r="AL33" s="89"/>
      <c r="AM33" s="89"/>
      <c r="AN33" s="89"/>
      <c r="AO33" s="89"/>
      <c r="AP33" s="89"/>
      <c r="AQ33" s="89"/>
      <c r="AS33" s="94"/>
      <c r="AT33" s="94"/>
      <c r="AU33" s="94"/>
      <c r="AV33" s="94"/>
      <c r="AW33" s="94"/>
      <c r="AX33" s="94"/>
      <c r="AY33" s="94"/>
      <c r="AZ33" s="94"/>
      <c r="BA33" s="94"/>
      <c r="BB33" s="94"/>
      <c r="BC33" s="94"/>
      <c r="BD33" s="94"/>
      <c r="BE33" s="94"/>
      <c r="BF33" s="94"/>
      <c r="BG33" s="94"/>
      <c r="BH33" s="94"/>
      <c r="BI33" s="94"/>
      <c r="BJ33" s="94"/>
      <c r="BN33" s="4"/>
      <c r="BO33" s="108"/>
      <c r="BP33" s="107"/>
      <c r="BU33" s="37"/>
      <c r="BW33" s="5"/>
      <c r="BX33" s="112"/>
      <c r="CA33" s="114" t="s">
        <v>161</v>
      </c>
    </row>
    <row r="34" ht="14.4" spans="3:79">
      <c r="C34" s="48"/>
      <c r="D34" s="49"/>
      <c r="E34" s="50" t="s">
        <v>162</v>
      </c>
      <c r="F34" s="51"/>
      <c r="G34" s="52"/>
      <c r="H34" s="53"/>
      <c r="Y34" s="88"/>
      <c r="Z34" s="89"/>
      <c r="AA34" s="89"/>
      <c r="AB34" s="89"/>
      <c r="AC34" s="89"/>
      <c r="AD34" s="89"/>
      <c r="AE34" s="89"/>
      <c r="AF34" s="89"/>
      <c r="AG34" s="89"/>
      <c r="AH34" s="89"/>
      <c r="AI34" s="89"/>
      <c r="AJ34" s="89"/>
      <c r="AK34" s="89"/>
      <c r="AL34" s="89"/>
      <c r="AM34" s="89"/>
      <c r="AN34" s="89"/>
      <c r="AO34" s="89"/>
      <c r="AP34" s="89"/>
      <c r="AQ34" s="89"/>
      <c r="AS34" s="94"/>
      <c r="AT34" s="94"/>
      <c r="AU34" s="94"/>
      <c r="AV34" s="94"/>
      <c r="AW34" s="94"/>
      <c r="AX34" s="94"/>
      <c r="AY34" s="94"/>
      <c r="AZ34" s="94"/>
      <c r="BA34" s="94"/>
      <c r="BB34" s="94"/>
      <c r="BC34" s="94"/>
      <c r="BD34" s="94"/>
      <c r="BE34" s="94"/>
      <c r="BF34" s="94"/>
      <c r="BG34" s="94"/>
      <c r="BH34" s="94"/>
      <c r="BI34" s="94"/>
      <c r="BJ34" s="94"/>
      <c r="BN34" s="4"/>
      <c r="BO34" s="108"/>
      <c r="BP34" s="107"/>
      <c r="BU34" s="37"/>
      <c r="BW34" s="5"/>
      <c r="BX34" s="112"/>
      <c r="CA34" s="132" t="s">
        <v>163</v>
      </c>
    </row>
    <row r="35" ht="18" spans="3:79">
      <c r="C35" s="54"/>
      <c r="D35" s="55">
        <v>0.08</v>
      </c>
      <c r="E35" s="56" t="s">
        <v>164</v>
      </c>
      <c r="F35" s="57"/>
      <c r="G35" s="58">
        <v>0.07</v>
      </c>
      <c r="H35" s="59"/>
      <c r="Y35" s="90" t="s">
        <v>165</v>
      </c>
      <c r="Z35" s="91"/>
      <c r="AA35" s="91"/>
      <c r="AB35" s="91"/>
      <c r="AC35" s="91"/>
      <c r="AD35" s="91"/>
      <c r="AE35" s="91"/>
      <c r="AF35" s="91"/>
      <c r="AG35" s="91"/>
      <c r="AH35" s="91"/>
      <c r="AI35" s="91"/>
      <c r="AJ35" s="91"/>
      <c r="AK35" s="91"/>
      <c r="AL35" s="91"/>
      <c r="AM35" s="91"/>
      <c r="AN35" s="91"/>
      <c r="AO35" s="91"/>
      <c r="AP35" s="91"/>
      <c r="AQ35" s="91"/>
      <c r="AS35" s="95"/>
      <c r="AT35" s="95"/>
      <c r="AU35" s="95"/>
      <c r="AV35" s="95"/>
      <c r="AW35" s="95"/>
      <c r="AX35" s="95"/>
      <c r="AY35" s="95"/>
      <c r="AZ35" s="95"/>
      <c r="BA35" s="95"/>
      <c r="BB35" s="95"/>
      <c r="BC35" s="95"/>
      <c r="BD35" s="95"/>
      <c r="BE35" s="95"/>
      <c r="BF35" s="95"/>
      <c r="BG35" s="95"/>
      <c r="BH35" s="95"/>
      <c r="BI35" s="95"/>
      <c r="BJ35" s="95"/>
      <c r="BN35" s="4" t="s">
        <v>166</v>
      </c>
      <c r="BO35" s="84">
        <f>G21</f>
        <v>0.07</v>
      </c>
      <c r="BP35" s="107">
        <v>3</v>
      </c>
      <c r="BQ35" s="3" t="s">
        <v>167</v>
      </c>
      <c r="BU35" s="124">
        <f>IF(G21&lt;=0,0.00000000001,G21)</f>
        <v>0.07</v>
      </c>
      <c r="BV35" s="99"/>
      <c r="BW35" s="5"/>
      <c r="BX35" s="133">
        <f>IF(BU7&gt;55,(BU7-55),0)</f>
        <v>0</v>
      </c>
      <c r="CA35" s="114" t="s">
        <v>168</v>
      </c>
    </row>
    <row r="36" ht="15" customHeight="1" spans="3:82">
      <c r="C36" s="60">
        <f>IF(G12&lt;(BU43+BU46+BU49),G6+1,"")</f>
        <v>61</v>
      </c>
      <c r="D36" s="61">
        <f>INDEX('PFR (LINKED)'!H15:P59,MATCH(C36-1,'PFR (LINKED)'!B15:B59,0),MATCH(D35,'PFR (LINKED)'!H14:P14,0))</f>
        <v>1469328.0768</v>
      </c>
      <c r="E36" s="62"/>
      <c r="F36" s="63">
        <f>IF($C36&lt;&gt;"",(($BO$38*(1+($BO$36))^($G$6-$G$5))),"")</f>
        <v>83467.7333496</v>
      </c>
      <c r="G36" s="64">
        <f>IF($C36&lt;&gt;"",IF($G$6&gt;=55,((D36-F36)*$G$35),((D36-F36)*$G$35)),"")</f>
        <v>97010.224041528</v>
      </c>
      <c r="H36" s="65">
        <f t="shared" ref="H36:H71" si="2">IF(C36&lt;&gt;"",(D36+G36-F36+E36),"")</f>
        <v>1482870.56749193</v>
      </c>
      <c r="Y36" s="92" t="e">
        <f t="shared" ref="Y36:Y71" si="3">SUM(Z36:BJ36)</f>
        <v>#VALUE!</v>
      </c>
      <c r="Z36" s="92" t="e">
        <v>#VALUE!</v>
      </c>
      <c r="AA36" s="92" t="e">
        <v>#VALUE!</v>
      </c>
      <c r="AB36" s="92" t="e">
        <v>#VALUE!</v>
      </c>
      <c r="AC36" s="92" t="e">
        <v>#VALUE!</v>
      </c>
      <c r="AD36" s="92" t="e">
        <v>#VALUE!</v>
      </c>
      <c r="AE36" s="92" t="e">
        <v>#VALUE!</v>
      </c>
      <c r="AF36" s="92">
        <f>IF($C36&lt;&gt;"",IF($C36-'[1]Ins(O)'!$C$56=0,'[1]Ins(O)'!$C$55,0),"")</f>
        <v>0</v>
      </c>
      <c r="AG36" s="92">
        <f>IF($C36&lt;&gt;"",IF($C36-'[1]Ins(O)'!$D$56=0,'[1]Ins(O)'!$D$55,0),"")</f>
        <v>0</v>
      </c>
      <c r="AH36" s="92">
        <f>IF($C36&lt;&gt;"",IF($C36-'[1]Ins(O)'!$E$56=0,'[1]Ins(O)'!$E$55,0),"")</f>
        <v>0</v>
      </c>
      <c r="AI36" s="92">
        <f>IF($C36&lt;&gt;"",IF($C36-'[1]Ins(O)'!$F$56=0,'[1]Ins(O)'!$F$55,0),"")</f>
        <v>0</v>
      </c>
      <c r="AJ36" s="92">
        <f>IF($C36&lt;&gt;"",IF($C36-'[1]Ins(O)'!$G$56=0,'[1]Ins(O)'!$G$55,0),"")</f>
        <v>0</v>
      </c>
      <c r="AK36" s="92">
        <f>IF($C36&lt;&gt;"",IF($C36-'[1]Ins(O)'!$H$56=0,'[1]Ins(O)'!$H$55,0),"")</f>
        <v>0</v>
      </c>
      <c r="AL36" s="92">
        <f>IF($C36&lt;&gt;"",IF($C36-'[1]Ins(O)'!$C$94=0,'[1]Ins(O)'!$C$93,0),"")</f>
        <v>0</v>
      </c>
      <c r="AM36" s="92">
        <f>IF($C36&lt;&gt;"",IF($C36-'[1]Ins(O)'!$D$94=0,'[1]Ins(O)'!$D$93,0),"")</f>
        <v>0</v>
      </c>
      <c r="AN36" s="92">
        <f>IF($C36&lt;&gt;"",IF($C36-'[1]Ins(O)'!$E$94=0,'[1]Ins(O)'!$E$93,0),"")</f>
        <v>0</v>
      </c>
      <c r="AO36" s="92">
        <f>IF($C36&lt;&gt;"",IF($C36-'[1]Ins(O)'!$F$94=0,'[1]Ins(O)'!$F$93,0),"")</f>
        <v>0</v>
      </c>
      <c r="AP36" s="92">
        <f>IF($C36&lt;&gt;"",IF($C36-'[1]Ins(O)'!$G$94=0,'[1]Ins(O)'!$G$93,0),"")</f>
        <v>0</v>
      </c>
      <c r="AQ36" s="92">
        <f>IF($C36&lt;&gt;"",IF($C36-'[1]Ins(O)'!$H$94=0,'[1]Ins(O)'!$H$93,0),"")</f>
        <v>0</v>
      </c>
      <c r="AR36" s="92"/>
      <c r="AS36" s="92" t="e">
        <v>#VALUE!</v>
      </c>
      <c r="AT36" s="92" t="e">
        <v>#VALUE!</v>
      </c>
      <c r="AU36" s="92" t="e">
        <v>#VALUE!</v>
      </c>
      <c r="AV36" s="92" t="e">
        <v>#VALUE!</v>
      </c>
      <c r="AW36" s="92" t="e">
        <v>#VALUE!</v>
      </c>
      <c r="AX36" s="92" t="e">
        <v>#VALUE!</v>
      </c>
      <c r="AY36" s="92" t="e">
        <v>#VALUE!</v>
      </c>
      <c r="AZ36" s="92" t="e">
        <v>#VALUE!</v>
      </c>
      <c r="BA36" s="92" t="e">
        <v>#VALUE!</v>
      </c>
      <c r="BB36" s="92" t="e">
        <v>#VALUE!</v>
      </c>
      <c r="BC36" s="92" t="e">
        <v>#VALUE!</v>
      </c>
      <c r="BD36" s="92" t="e">
        <v>#VALUE!</v>
      </c>
      <c r="BE36" s="92" t="e">
        <v>#VALUE!</v>
      </c>
      <c r="BF36" s="92" t="e">
        <v>#VALUE!</v>
      </c>
      <c r="BG36" s="92" t="e">
        <v>#VALUE!</v>
      </c>
      <c r="BH36" s="92" t="e">
        <v>#VALUE!</v>
      </c>
      <c r="BI36" s="92" t="e">
        <v>#VALUE!</v>
      </c>
      <c r="BJ36" s="92" t="e">
        <v>#VALUE!</v>
      </c>
      <c r="BN36" s="4" t="s">
        <v>169</v>
      </c>
      <c r="BO36" s="84">
        <f>G11</f>
        <v>0.03</v>
      </c>
      <c r="BP36" s="107">
        <v>4</v>
      </c>
      <c r="BU36" s="37"/>
      <c r="BW36" s="5"/>
      <c r="BX36" s="112"/>
      <c r="CA36" s="114" t="s">
        <v>170</v>
      </c>
      <c r="CB36" s="134">
        <f>F36/D36</f>
        <v>0.0568067368122316</v>
      </c>
      <c r="CC36" s="142">
        <f>G36/D36</f>
        <v>0.0660235284231438</v>
      </c>
      <c r="CD36" s="142">
        <f>H36/$D$36</f>
        <v>1.00921679161091</v>
      </c>
    </row>
    <row r="37" ht="15" customHeight="1" spans="3:82">
      <c r="C37" s="66">
        <f>IF($C36&lt;&gt;"",IF($H36&gt;0,$C$36+1,""),"")</f>
        <v>62</v>
      </c>
      <c r="D37" s="61" t="e">
        <f>IF(C37&lt;&gt;"",IF(BP31=(55-$G$6),$H36+$BO$32+Y37,$H36+Y37),"")</f>
        <v>#VALUE!</v>
      </c>
      <c r="E37" s="67"/>
      <c r="F37" s="68">
        <f>IF($C37&lt;&gt;"",(($BO$38*(1+($BO$36))^($BP31+$G$6-$G$5))),"")</f>
        <v>85971.765350088</v>
      </c>
      <c r="G37" s="69" t="e">
        <f>IF($C37&lt;&gt;"",((D37-F37)*$G$35),"")</f>
        <v>#VALUE!</v>
      </c>
      <c r="H37" s="70" t="e">
        <f t="shared" si="2"/>
        <v>#VALUE!</v>
      </c>
      <c r="Y37" s="92" t="e">
        <f t="shared" si="3"/>
        <v>#VALUE!</v>
      </c>
      <c r="Z37" s="92" t="e">
        <v>#VALUE!</v>
      </c>
      <c r="AA37" s="92" t="e">
        <v>#VALUE!</v>
      </c>
      <c r="AB37" s="92" t="e">
        <v>#VALUE!</v>
      </c>
      <c r="AC37" s="92" t="e">
        <v>#VALUE!</v>
      </c>
      <c r="AD37" s="92" t="e">
        <v>#VALUE!</v>
      </c>
      <c r="AE37" s="92" t="e">
        <v>#VALUE!</v>
      </c>
      <c r="AF37" s="92">
        <f>IF($C37&lt;&gt;"",IF($C37-'[1]Ins(O)'!$C$56=0,'[1]Ins(O)'!$C$55,0),"")</f>
        <v>0</v>
      </c>
      <c r="AG37" s="92">
        <f>IF($C37&lt;&gt;"",IF($C37-'[1]Ins(O)'!$D$56=0,'[1]Ins(O)'!$D$55,0),"")</f>
        <v>0</v>
      </c>
      <c r="AH37" s="92">
        <f>IF($C37&lt;&gt;"",IF($C37-'[1]Ins(O)'!$E$56=0,'[1]Ins(O)'!$E$55,0),"")</f>
        <v>0</v>
      </c>
      <c r="AI37" s="92">
        <f>IF($C37&lt;&gt;"",IF($C37-'[1]Ins(O)'!$F$56=0,'[1]Ins(O)'!$F$55,0),"")</f>
        <v>0</v>
      </c>
      <c r="AJ37" s="92">
        <f>IF($C37&lt;&gt;"",IF($C37-'[1]Ins(O)'!$G$56=0,'[1]Ins(O)'!$G$55,0),"")</f>
        <v>0</v>
      </c>
      <c r="AK37" s="92">
        <f>IF($C37&lt;&gt;"",IF($C37-'[1]Ins(O)'!$H$56=0,'[1]Ins(O)'!$H$55,0),"")</f>
        <v>0</v>
      </c>
      <c r="AL37" s="92">
        <f>IF($C37&lt;&gt;"",IF($C37-'[1]Ins(O)'!$C$94=0,'[1]Ins(O)'!$C$93,0),"")</f>
        <v>0</v>
      </c>
      <c r="AM37" s="92">
        <f>IF($C37&lt;&gt;"",IF($C37-'[1]Ins(O)'!$D$94=0,'[1]Ins(O)'!$D$93,0),"")</f>
        <v>0</v>
      </c>
      <c r="AN37" s="92">
        <f>IF($C37&lt;&gt;"",IF($C37-'[1]Ins(O)'!$E$94=0,'[1]Ins(O)'!$E$93,0),"")</f>
        <v>0</v>
      </c>
      <c r="AO37" s="92">
        <f>IF($C37&lt;&gt;"",IF($C37-'[1]Ins(O)'!$F$94=0,'[1]Ins(O)'!$F$93,0),"")</f>
        <v>0</v>
      </c>
      <c r="AP37" s="92">
        <f>IF($C37&lt;&gt;"",IF($C37-'[1]Ins(O)'!$G$94=0,'[1]Ins(O)'!$G$93,0),"")</f>
        <v>0</v>
      </c>
      <c r="AQ37" s="92">
        <f>IF($C37&lt;&gt;"",IF($C37-'[1]Ins(O)'!$H$94=0,'[1]Ins(O)'!$H$93,0),"")</f>
        <v>0</v>
      </c>
      <c r="AS37" s="92" t="e">
        <v>#VALUE!</v>
      </c>
      <c r="AT37" s="92" t="e">
        <v>#VALUE!</v>
      </c>
      <c r="AU37" s="92" t="e">
        <v>#VALUE!</v>
      </c>
      <c r="AV37" s="92" t="e">
        <v>#VALUE!</v>
      </c>
      <c r="AW37" s="92" t="e">
        <v>#VALUE!</v>
      </c>
      <c r="AX37" s="92" t="e">
        <v>#VALUE!</v>
      </c>
      <c r="AY37" s="92" t="e">
        <v>#VALUE!</v>
      </c>
      <c r="AZ37" s="92" t="e">
        <v>#VALUE!</v>
      </c>
      <c r="BA37" s="92" t="e">
        <v>#VALUE!</v>
      </c>
      <c r="BB37" s="92" t="e">
        <v>#VALUE!</v>
      </c>
      <c r="BC37" s="92" t="e">
        <v>#VALUE!</v>
      </c>
      <c r="BD37" s="92" t="e">
        <v>#VALUE!</v>
      </c>
      <c r="BE37" s="92" t="e">
        <v>#VALUE!</v>
      </c>
      <c r="BF37" s="92" t="e">
        <v>#VALUE!</v>
      </c>
      <c r="BG37" s="92" t="e">
        <v>#VALUE!</v>
      </c>
      <c r="BH37" s="92" t="e">
        <v>#VALUE!</v>
      </c>
      <c r="BI37" s="92" t="e">
        <v>#VALUE!</v>
      </c>
      <c r="BJ37" s="92" t="e">
        <v>#VALUE!</v>
      </c>
      <c r="BN37" s="4" t="s">
        <v>171</v>
      </c>
      <c r="BO37" s="108">
        <f>G12/12</f>
        <v>6000</v>
      </c>
      <c r="BP37" s="107">
        <v>5</v>
      </c>
      <c r="BW37" s="5"/>
      <c r="BX37" s="112"/>
      <c r="CA37" s="114" t="s">
        <v>172</v>
      </c>
      <c r="CB37" s="134" t="e">
        <f t="shared" ref="CB37:CB64" si="4">F37/D37</f>
        <v>#VALUE!</v>
      </c>
      <c r="CC37" s="142" t="e">
        <f t="shared" ref="CC37:CC64" si="5">G37/D37</f>
        <v>#VALUE!</v>
      </c>
      <c r="CD37" s="142" t="e">
        <f t="shared" ref="CD37:CD64" si="6">H37/$D$36</f>
        <v>#VALUE!</v>
      </c>
    </row>
    <row r="38" ht="15" customHeight="1" spans="3:95">
      <c r="C38" s="66" t="e">
        <f>IF($C37&lt;&gt;"",IF($H37&gt;0,$C$36+2,""),"")</f>
        <v>#VALUE!</v>
      </c>
      <c r="D38" s="61" t="e">
        <f>IF(C38&lt;&gt;"",IF(BP32=(55-$G$6),$H37+$BO$32+Y38,$H37+Y38),"")</f>
        <v>#VALUE!</v>
      </c>
      <c r="E38" s="67"/>
      <c r="F38" s="68" t="e">
        <f>IF($C38&lt;&gt;"",(($BO$38*(1+($BO$36))^($BP32+$G$6-$G$5))),"")</f>
        <v>#VALUE!</v>
      </c>
      <c r="G38" s="69" t="e">
        <f t="shared" ref="G38:G63" si="7">IF($C38&lt;&gt;"",((D38-F38)*$G$35),"")</f>
        <v>#VALUE!</v>
      </c>
      <c r="H38" s="70" t="e">
        <f t="shared" si="2"/>
        <v>#VALUE!</v>
      </c>
      <c r="Y38" s="92" t="e">
        <f t="shared" si="3"/>
        <v>#VALUE!</v>
      </c>
      <c r="Z38" s="92" t="e">
        <v>#VALUE!</v>
      </c>
      <c r="AA38" s="92" t="e">
        <v>#VALUE!</v>
      </c>
      <c r="AB38" s="92" t="e">
        <v>#VALUE!</v>
      </c>
      <c r="AC38" s="92" t="e">
        <v>#VALUE!</v>
      </c>
      <c r="AD38" s="92" t="e">
        <v>#VALUE!</v>
      </c>
      <c r="AE38" s="92" t="e">
        <v>#VALUE!</v>
      </c>
      <c r="AF38" s="92" t="e">
        <f>IF($C38&lt;&gt;"",IF($C38-'[1]Ins(O)'!$C$56=0,'[1]Ins(O)'!$C$55,0),"")</f>
        <v>#VALUE!</v>
      </c>
      <c r="AG38" s="92" t="e">
        <f>IF($C38&lt;&gt;"",IF($C38-'[1]Ins(O)'!$D$56=0,'[1]Ins(O)'!$D$55,0),"")</f>
        <v>#VALUE!</v>
      </c>
      <c r="AH38" s="92" t="e">
        <f>IF($C38&lt;&gt;"",IF($C38-'[1]Ins(O)'!$E$56=0,'[1]Ins(O)'!$E$55,0),"")</f>
        <v>#VALUE!</v>
      </c>
      <c r="AI38" s="92" t="e">
        <f>IF($C38&lt;&gt;"",IF($C38-'[1]Ins(O)'!$F$56=0,'[1]Ins(O)'!$F$55,0),"")</f>
        <v>#VALUE!</v>
      </c>
      <c r="AJ38" s="92" t="e">
        <f>IF($C38&lt;&gt;"",IF($C38-'[1]Ins(O)'!$G$56=0,'[1]Ins(O)'!$G$55,0),"")</f>
        <v>#VALUE!</v>
      </c>
      <c r="AK38" s="92" t="e">
        <f>IF($C38&lt;&gt;"",IF($C38-'[1]Ins(O)'!$H$56=0,'[1]Ins(O)'!$H$55,0),"")</f>
        <v>#VALUE!</v>
      </c>
      <c r="AL38" s="92" t="e">
        <f>IF($C38&lt;&gt;"",IF($C38-'[1]Ins(O)'!$C$94=0,'[1]Ins(O)'!$C$93,0),"")</f>
        <v>#VALUE!</v>
      </c>
      <c r="AM38" s="92" t="e">
        <f>IF($C38&lt;&gt;"",IF($C38-'[1]Ins(O)'!$D$94=0,'[1]Ins(O)'!$D$93,0),"")</f>
        <v>#VALUE!</v>
      </c>
      <c r="AN38" s="92" t="e">
        <f>IF($C38&lt;&gt;"",IF($C38-'[1]Ins(O)'!$E$94=0,'[1]Ins(O)'!$E$93,0),"")</f>
        <v>#VALUE!</v>
      </c>
      <c r="AO38" s="92" t="e">
        <f>IF($C38&lt;&gt;"",IF($C38-'[1]Ins(O)'!$F$94=0,'[1]Ins(O)'!$F$93,0),"")</f>
        <v>#VALUE!</v>
      </c>
      <c r="AP38" s="92" t="e">
        <f>IF($C38&lt;&gt;"",IF($C38-'[1]Ins(O)'!$G$94=0,'[1]Ins(O)'!$G$93,0),"")</f>
        <v>#VALUE!</v>
      </c>
      <c r="AQ38" s="92" t="e">
        <f>IF($C38&lt;&gt;"",IF($C38-'[1]Ins(O)'!$H$94=0,'[1]Ins(O)'!$H$93,0),"")</f>
        <v>#VALUE!</v>
      </c>
      <c r="AS38" s="92" t="e">
        <v>#VALUE!</v>
      </c>
      <c r="AT38" s="92" t="e">
        <v>#VALUE!</v>
      </c>
      <c r="AU38" s="92" t="e">
        <v>#VALUE!</v>
      </c>
      <c r="AV38" s="92" t="e">
        <v>#VALUE!</v>
      </c>
      <c r="AW38" s="92" t="e">
        <v>#VALUE!</v>
      </c>
      <c r="AX38" s="92" t="e">
        <v>#VALUE!</v>
      </c>
      <c r="AY38" s="92" t="e">
        <v>#VALUE!</v>
      </c>
      <c r="AZ38" s="92" t="e">
        <v>#VALUE!</v>
      </c>
      <c r="BA38" s="92" t="e">
        <v>#VALUE!</v>
      </c>
      <c r="BB38" s="92" t="e">
        <v>#VALUE!</v>
      </c>
      <c r="BC38" s="92" t="e">
        <v>#VALUE!</v>
      </c>
      <c r="BD38" s="92" t="e">
        <v>#VALUE!</v>
      </c>
      <c r="BE38" s="92" t="e">
        <v>#VALUE!</v>
      </c>
      <c r="BF38" s="92" t="e">
        <v>#VALUE!</v>
      </c>
      <c r="BG38" s="92" t="e">
        <v>#VALUE!</v>
      </c>
      <c r="BH38" s="92" t="e">
        <v>#VALUE!</v>
      </c>
      <c r="BI38" s="92" t="e">
        <v>#VALUE!</v>
      </c>
      <c r="BJ38" s="92" t="e">
        <v>#VALUE!</v>
      </c>
      <c r="BN38" s="4" t="s">
        <v>173</v>
      </c>
      <c r="BO38" s="108">
        <f>G12</f>
        <v>72000</v>
      </c>
      <c r="BP38" s="107">
        <v>6</v>
      </c>
      <c r="BQ38" s="98" t="s">
        <v>174</v>
      </c>
      <c r="BR38" s="98"/>
      <c r="BS38" s="98" t="s">
        <v>175</v>
      </c>
      <c r="BU38" s="37"/>
      <c r="BW38" s="5"/>
      <c r="BX38" s="112"/>
      <c r="CA38" s="114" t="s">
        <v>176</v>
      </c>
      <c r="CB38" s="134" t="e">
        <f t="shared" si="4"/>
        <v>#VALUE!</v>
      </c>
      <c r="CC38" s="142" t="e">
        <f t="shared" si="5"/>
        <v>#VALUE!</v>
      </c>
      <c r="CD38" s="142" t="e">
        <f t="shared" si="6"/>
        <v>#VALUE!</v>
      </c>
      <c r="CQ38" s="5"/>
    </row>
    <row r="39" ht="15" customHeight="1" spans="3:95">
      <c r="C39" s="66" t="e">
        <f>IF($C38&lt;&gt;"",IF($H38&gt;0,$C$36+3,""),"")</f>
        <v>#VALUE!</v>
      </c>
      <c r="D39" s="61" t="e">
        <f t="shared" ref="D39:D71" si="8">IF(C39&lt;&gt;"",IF(BP35=(55-$G$6),$H38+$BO$32+Y39,$H38+Y39),"")</f>
        <v>#VALUE!</v>
      </c>
      <c r="E39" s="67"/>
      <c r="F39" s="68" t="e">
        <f t="shared" ref="F39:F71" si="9">IF($C39&lt;&gt;"",(($BO$38*(1+($BO$36))^($BP35+$G$6-$G$5))),"")</f>
        <v>#VALUE!</v>
      </c>
      <c r="G39" s="69" t="e">
        <f t="shared" si="7"/>
        <v>#VALUE!</v>
      </c>
      <c r="H39" s="70" t="e">
        <f t="shared" si="2"/>
        <v>#VALUE!</v>
      </c>
      <c r="Y39" s="92" t="e">
        <f t="shared" si="3"/>
        <v>#VALUE!</v>
      </c>
      <c r="Z39" s="92" t="e">
        <v>#VALUE!</v>
      </c>
      <c r="AA39" s="92" t="e">
        <v>#VALUE!</v>
      </c>
      <c r="AB39" s="92" t="e">
        <v>#VALUE!</v>
      </c>
      <c r="AC39" s="92" t="e">
        <v>#VALUE!</v>
      </c>
      <c r="AD39" s="92" t="e">
        <v>#VALUE!</v>
      </c>
      <c r="AE39" s="92" t="e">
        <v>#VALUE!</v>
      </c>
      <c r="AF39" s="92" t="e">
        <f>IF($C39&lt;&gt;"",IF($C39-'[1]Ins(O)'!$C$56=0,'[1]Ins(O)'!$C$55,0),"")</f>
        <v>#VALUE!</v>
      </c>
      <c r="AG39" s="92" t="e">
        <f>IF($C39&lt;&gt;"",IF($C39-'[1]Ins(O)'!$D$56=0,'[1]Ins(O)'!$D$55,0),"")</f>
        <v>#VALUE!</v>
      </c>
      <c r="AH39" s="92" t="e">
        <f>IF($C39&lt;&gt;"",IF($C39-'[1]Ins(O)'!$E$56=0,'[1]Ins(O)'!$E$55,0),"")</f>
        <v>#VALUE!</v>
      </c>
      <c r="AI39" s="92" t="e">
        <f>IF($C39&lt;&gt;"",IF($C39-'[1]Ins(O)'!$F$56=0,'[1]Ins(O)'!$F$55,0),"")</f>
        <v>#VALUE!</v>
      </c>
      <c r="AJ39" s="92" t="e">
        <f>IF($C39&lt;&gt;"",IF($C39-'[1]Ins(O)'!$G$56=0,'[1]Ins(O)'!$G$55,0),"")</f>
        <v>#VALUE!</v>
      </c>
      <c r="AK39" s="92" t="e">
        <f>IF($C39&lt;&gt;"",IF($C39-'[1]Ins(O)'!$H$56=0,'[1]Ins(O)'!$H$55,0),"")</f>
        <v>#VALUE!</v>
      </c>
      <c r="AL39" s="92" t="e">
        <f>IF($C39&lt;&gt;"",IF($C39-'[1]Ins(O)'!$C$94=0,'[1]Ins(O)'!$C$93,0),"")</f>
        <v>#VALUE!</v>
      </c>
      <c r="AM39" s="92" t="e">
        <f>IF($C39&lt;&gt;"",IF($C39-'[1]Ins(O)'!$D$94=0,'[1]Ins(O)'!$D$93,0),"")</f>
        <v>#VALUE!</v>
      </c>
      <c r="AN39" s="92" t="e">
        <f>IF($C39&lt;&gt;"",IF($C39-'[1]Ins(O)'!$E$94=0,'[1]Ins(O)'!$E$93,0),"")</f>
        <v>#VALUE!</v>
      </c>
      <c r="AO39" s="92" t="e">
        <f>IF($C39&lt;&gt;"",IF($C39-'[1]Ins(O)'!$F$94=0,'[1]Ins(O)'!$F$93,0),"")</f>
        <v>#VALUE!</v>
      </c>
      <c r="AP39" s="92" t="e">
        <f>IF($C39&lt;&gt;"",IF($C39-'[1]Ins(O)'!$G$94=0,'[1]Ins(O)'!$G$93,0),"")</f>
        <v>#VALUE!</v>
      </c>
      <c r="AQ39" s="92" t="e">
        <f>IF($C39&lt;&gt;"",IF($C39-'[1]Ins(O)'!$H$94=0,'[1]Ins(O)'!$H$93,0),"")</f>
        <v>#VALUE!</v>
      </c>
      <c r="AS39" s="92" t="e">
        <v>#VALUE!</v>
      </c>
      <c r="AT39" s="92" t="e">
        <v>#VALUE!</v>
      </c>
      <c r="AU39" s="92" t="e">
        <v>#VALUE!</v>
      </c>
      <c r="AV39" s="92" t="e">
        <v>#VALUE!</v>
      </c>
      <c r="AW39" s="92" t="e">
        <v>#VALUE!</v>
      </c>
      <c r="AX39" s="92" t="e">
        <v>#VALUE!</v>
      </c>
      <c r="AY39" s="92" t="e">
        <v>#VALUE!</v>
      </c>
      <c r="AZ39" s="92" t="e">
        <v>#VALUE!</v>
      </c>
      <c r="BA39" s="92" t="e">
        <v>#VALUE!</v>
      </c>
      <c r="BB39" s="92" t="e">
        <v>#VALUE!</v>
      </c>
      <c r="BC39" s="92" t="e">
        <v>#VALUE!</v>
      </c>
      <c r="BD39" s="92" t="e">
        <v>#VALUE!</v>
      </c>
      <c r="BE39" s="92" t="e">
        <v>#VALUE!</v>
      </c>
      <c r="BF39" s="92" t="e">
        <v>#VALUE!</v>
      </c>
      <c r="BG39" s="92" t="e">
        <v>#VALUE!</v>
      </c>
      <c r="BH39" s="92" t="e">
        <v>#VALUE!</v>
      </c>
      <c r="BI39" s="92" t="e">
        <v>#VALUE!</v>
      </c>
      <c r="BJ39" s="92" t="e">
        <v>#VALUE!</v>
      </c>
      <c r="BK39" s="96" t="s">
        <v>177</v>
      </c>
      <c r="BL39" s="4"/>
      <c r="BM39" s="4"/>
      <c r="BN39" s="4"/>
      <c r="BO39" s="109">
        <f>I14</f>
        <v>0.07</v>
      </c>
      <c r="BP39" s="107">
        <v>7</v>
      </c>
      <c r="BU39" s="37"/>
      <c r="BW39" s="20"/>
      <c r="BX39" s="112"/>
      <c r="CA39" s="123" t="s">
        <v>178</v>
      </c>
      <c r="CB39" s="134" t="e">
        <f t="shared" si="4"/>
        <v>#VALUE!</v>
      </c>
      <c r="CC39" s="142" t="e">
        <f t="shared" si="5"/>
        <v>#VALUE!</v>
      </c>
      <c r="CD39" s="142" t="e">
        <f t="shared" si="6"/>
        <v>#VALUE!</v>
      </c>
      <c r="CQ39" s="5"/>
    </row>
    <row r="40" ht="15" customHeight="1" spans="3:82">
      <c r="C40" s="66" t="e">
        <f>IF($C39&lt;&gt;"",IF($H39&gt;0,$C$36+4,""),"")</f>
        <v>#VALUE!</v>
      </c>
      <c r="D40" s="61" t="e">
        <f t="shared" si="8"/>
        <v>#VALUE!</v>
      </c>
      <c r="E40" s="67"/>
      <c r="F40" s="68" t="e">
        <f t="shared" si="9"/>
        <v>#VALUE!</v>
      </c>
      <c r="G40" s="69" t="e">
        <f t="shared" si="7"/>
        <v>#VALUE!</v>
      </c>
      <c r="H40" s="70" t="e">
        <f t="shared" si="2"/>
        <v>#VALUE!</v>
      </c>
      <c r="Y40" s="92" t="e">
        <f t="shared" si="3"/>
        <v>#VALUE!</v>
      </c>
      <c r="Z40" s="92" t="e">
        <v>#VALUE!</v>
      </c>
      <c r="AA40" s="92" t="e">
        <v>#VALUE!</v>
      </c>
      <c r="AB40" s="92" t="e">
        <v>#VALUE!</v>
      </c>
      <c r="AC40" s="92" t="e">
        <v>#VALUE!</v>
      </c>
      <c r="AD40" s="92" t="e">
        <v>#VALUE!</v>
      </c>
      <c r="AE40" s="92" t="e">
        <v>#VALUE!</v>
      </c>
      <c r="AF40" s="92" t="e">
        <f>IF($C40&lt;&gt;"",IF($C40-'[1]Ins(O)'!$C$56=0,'[1]Ins(O)'!$C$55,0),"")</f>
        <v>#VALUE!</v>
      </c>
      <c r="AG40" s="92" t="e">
        <f>IF($C40&lt;&gt;"",IF($C40-'[1]Ins(O)'!$D$56=0,'[1]Ins(O)'!$D$55,0),"")</f>
        <v>#VALUE!</v>
      </c>
      <c r="AH40" s="92" t="e">
        <f>IF($C40&lt;&gt;"",IF($C40-'[1]Ins(O)'!$E$56=0,'[1]Ins(O)'!$E$55,0),"")</f>
        <v>#VALUE!</v>
      </c>
      <c r="AI40" s="92" t="e">
        <f>IF($C40&lt;&gt;"",IF($C40-'[1]Ins(O)'!$F$56=0,'[1]Ins(O)'!$F$55,0),"")</f>
        <v>#VALUE!</v>
      </c>
      <c r="AJ40" s="92" t="e">
        <f>IF($C40&lt;&gt;"",IF($C40-'[1]Ins(O)'!$G$56=0,'[1]Ins(O)'!$G$55,0),"")</f>
        <v>#VALUE!</v>
      </c>
      <c r="AK40" s="92" t="e">
        <f>IF($C40&lt;&gt;"",IF($C40-'[1]Ins(O)'!$H$56=0,'[1]Ins(O)'!$H$55,0),"")</f>
        <v>#VALUE!</v>
      </c>
      <c r="AL40" s="92" t="e">
        <f>IF($C40&lt;&gt;"",IF($C40-'[1]Ins(O)'!$C$94=0,'[1]Ins(O)'!$C$93,0),"")</f>
        <v>#VALUE!</v>
      </c>
      <c r="AM40" s="92" t="e">
        <f>IF($C40&lt;&gt;"",IF($C40-'[1]Ins(O)'!$D$94=0,'[1]Ins(O)'!$D$93,0),"")</f>
        <v>#VALUE!</v>
      </c>
      <c r="AN40" s="92" t="e">
        <f>IF($C40&lt;&gt;"",IF($C40-'[1]Ins(O)'!$E$94=0,'[1]Ins(O)'!$E$93,0),"")</f>
        <v>#VALUE!</v>
      </c>
      <c r="AO40" s="92" t="e">
        <f>IF($C40&lt;&gt;"",IF($C40-'[1]Ins(O)'!$F$94=0,'[1]Ins(O)'!$F$93,0),"")</f>
        <v>#VALUE!</v>
      </c>
      <c r="AP40" s="92" t="e">
        <f>IF($C40&lt;&gt;"",IF($C40-'[1]Ins(O)'!$G$94=0,'[1]Ins(O)'!$G$93,0),"")</f>
        <v>#VALUE!</v>
      </c>
      <c r="AQ40" s="92" t="e">
        <f>IF($C40&lt;&gt;"",IF($C40-'[1]Ins(O)'!$H$94=0,'[1]Ins(O)'!$H$93,0),"")</f>
        <v>#VALUE!</v>
      </c>
      <c r="AS40" s="92" t="e">
        <v>#VALUE!</v>
      </c>
      <c r="AT40" s="92" t="e">
        <v>#VALUE!</v>
      </c>
      <c r="AU40" s="92" t="e">
        <v>#VALUE!</v>
      </c>
      <c r="AV40" s="92" t="e">
        <v>#VALUE!</v>
      </c>
      <c r="AW40" s="92" t="e">
        <v>#VALUE!</v>
      </c>
      <c r="AX40" s="92" t="e">
        <v>#VALUE!</v>
      </c>
      <c r="AY40" s="92" t="e">
        <v>#VALUE!</v>
      </c>
      <c r="AZ40" s="92" t="e">
        <v>#VALUE!</v>
      </c>
      <c r="BA40" s="92" t="e">
        <v>#VALUE!</v>
      </c>
      <c r="BB40" s="92" t="e">
        <v>#VALUE!</v>
      </c>
      <c r="BC40" s="92" t="e">
        <v>#VALUE!</v>
      </c>
      <c r="BD40" s="92" t="e">
        <v>#VALUE!</v>
      </c>
      <c r="BE40" s="92" t="e">
        <v>#VALUE!</v>
      </c>
      <c r="BF40" s="92" t="e">
        <v>#VALUE!</v>
      </c>
      <c r="BG40" s="92" t="e">
        <v>#VALUE!</v>
      </c>
      <c r="BH40" s="92" t="e">
        <v>#VALUE!</v>
      </c>
      <c r="BI40" s="92" t="e">
        <v>#VALUE!</v>
      </c>
      <c r="BJ40" s="92" t="e">
        <v>#VALUE!</v>
      </c>
      <c r="BN40" s="107"/>
      <c r="BP40" s="107">
        <v>8</v>
      </c>
      <c r="BQ40" s="3" t="s">
        <v>179</v>
      </c>
      <c r="BU40" s="135">
        <f>(((BU13*((1+$BT13)^BX7))+((((1+$BT11)*(((1+$BT11)^BX7)-((1+BU17)^BX7)))/($BT11-BU17))*BU11))*((1+$BT11)^BX9))*((1+$BT26)^BX26)</f>
        <v>0</v>
      </c>
      <c r="BV40" s="126"/>
      <c r="BW40" s="20"/>
      <c r="BX40" s="112"/>
      <c r="CA40" s="123" t="s">
        <v>180</v>
      </c>
      <c r="CB40" s="134" t="e">
        <f t="shared" si="4"/>
        <v>#VALUE!</v>
      </c>
      <c r="CC40" s="142" t="e">
        <f t="shared" si="5"/>
        <v>#VALUE!</v>
      </c>
      <c r="CD40" s="142" t="e">
        <f t="shared" si="6"/>
        <v>#VALUE!</v>
      </c>
    </row>
    <row r="41" ht="15" customHeight="1" spans="3:82">
      <c r="C41" s="66" t="e">
        <f>IF($C40&lt;&gt;"",IF($H40&gt;0,$C$36+5,""),"")</f>
        <v>#VALUE!</v>
      </c>
      <c r="D41" s="61" t="e">
        <f t="shared" si="8"/>
        <v>#VALUE!</v>
      </c>
      <c r="E41" s="67"/>
      <c r="F41" s="68" t="e">
        <f t="shared" si="9"/>
        <v>#VALUE!</v>
      </c>
      <c r="G41" s="69" t="e">
        <f t="shared" si="7"/>
        <v>#VALUE!</v>
      </c>
      <c r="H41" s="70" t="e">
        <f t="shared" si="2"/>
        <v>#VALUE!</v>
      </c>
      <c r="Y41" s="92" t="e">
        <f t="shared" si="3"/>
        <v>#VALUE!</v>
      </c>
      <c r="Z41" s="92" t="e">
        <v>#VALUE!</v>
      </c>
      <c r="AA41" s="92" t="e">
        <v>#VALUE!</v>
      </c>
      <c r="AB41" s="92" t="e">
        <v>#VALUE!</v>
      </c>
      <c r="AC41" s="92" t="e">
        <v>#VALUE!</v>
      </c>
      <c r="AD41" s="92" t="e">
        <v>#VALUE!</v>
      </c>
      <c r="AE41" s="92" t="e">
        <v>#VALUE!</v>
      </c>
      <c r="AF41" s="92" t="e">
        <f>IF($C41&lt;&gt;"",IF($C41-'[1]Ins(O)'!$C$56=0,'[1]Ins(O)'!$C$55,0),"")</f>
        <v>#VALUE!</v>
      </c>
      <c r="AG41" s="92" t="e">
        <f>IF($C41&lt;&gt;"",IF($C41-'[1]Ins(O)'!$D$56=0,'[1]Ins(O)'!$D$55,0),"")</f>
        <v>#VALUE!</v>
      </c>
      <c r="AH41" s="92" t="e">
        <f>IF($C41&lt;&gt;"",IF($C41-'[1]Ins(O)'!$E$56=0,'[1]Ins(O)'!$E$55,0),"")</f>
        <v>#VALUE!</v>
      </c>
      <c r="AI41" s="92" t="e">
        <f>IF($C41&lt;&gt;"",IF($C41-'[1]Ins(O)'!$F$56=0,'[1]Ins(O)'!$F$55,0),"")</f>
        <v>#VALUE!</v>
      </c>
      <c r="AJ41" s="92" t="e">
        <f>IF($C41&lt;&gt;"",IF($C41-'[1]Ins(O)'!$G$56=0,'[1]Ins(O)'!$G$55,0),"")</f>
        <v>#VALUE!</v>
      </c>
      <c r="AK41" s="92" t="e">
        <f>IF($C41&lt;&gt;"",IF($C41-'[1]Ins(O)'!$H$56=0,'[1]Ins(O)'!$H$55,0),"")</f>
        <v>#VALUE!</v>
      </c>
      <c r="AL41" s="92" t="e">
        <f>IF($C41&lt;&gt;"",IF($C41-'[1]Ins(O)'!$C$94=0,'[1]Ins(O)'!$C$93,0),"")</f>
        <v>#VALUE!</v>
      </c>
      <c r="AM41" s="92" t="e">
        <f>IF($C41&lt;&gt;"",IF($C41-'[1]Ins(O)'!$D$94=0,'[1]Ins(O)'!$D$93,0),"")</f>
        <v>#VALUE!</v>
      </c>
      <c r="AN41" s="92" t="e">
        <f>IF($C41&lt;&gt;"",IF($C41-'[1]Ins(O)'!$E$94=0,'[1]Ins(O)'!$E$93,0),"")</f>
        <v>#VALUE!</v>
      </c>
      <c r="AO41" s="92" t="e">
        <f>IF($C41&lt;&gt;"",IF($C41-'[1]Ins(O)'!$F$94=0,'[1]Ins(O)'!$F$93,0),"")</f>
        <v>#VALUE!</v>
      </c>
      <c r="AP41" s="92" t="e">
        <f>IF($C41&lt;&gt;"",IF($C41-'[1]Ins(O)'!$G$94=0,'[1]Ins(O)'!$G$93,0),"")</f>
        <v>#VALUE!</v>
      </c>
      <c r="AQ41" s="92" t="e">
        <f>IF($C41&lt;&gt;"",IF($C41-'[1]Ins(O)'!$H$94=0,'[1]Ins(O)'!$H$93,0),"")</f>
        <v>#VALUE!</v>
      </c>
      <c r="AS41" s="92" t="e">
        <v>#VALUE!</v>
      </c>
      <c r="AT41" s="92" t="e">
        <v>#VALUE!</v>
      </c>
      <c r="AU41" s="92" t="e">
        <v>#VALUE!</v>
      </c>
      <c r="AV41" s="92" t="e">
        <v>#VALUE!</v>
      </c>
      <c r="AW41" s="92" t="e">
        <v>#VALUE!</v>
      </c>
      <c r="AX41" s="92" t="e">
        <v>#VALUE!</v>
      </c>
      <c r="AY41" s="92" t="e">
        <v>#VALUE!</v>
      </c>
      <c r="AZ41" s="92" t="e">
        <v>#VALUE!</v>
      </c>
      <c r="BA41" s="92" t="e">
        <v>#VALUE!</v>
      </c>
      <c r="BB41" s="92" t="e">
        <v>#VALUE!</v>
      </c>
      <c r="BC41" s="92" t="e">
        <v>#VALUE!</v>
      </c>
      <c r="BD41" s="92" t="e">
        <v>#VALUE!</v>
      </c>
      <c r="BE41" s="92" t="e">
        <v>#VALUE!</v>
      </c>
      <c r="BF41" s="92" t="e">
        <v>#VALUE!</v>
      </c>
      <c r="BG41" s="92" t="e">
        <v>#VALUE!</v>
      </c>
      <c r="BH41" s="92" t="e">
        <v>#VALUE!</v>
      </c>
      <c r="BI41" s="92" t="e">
        <v>#VALUE!</v>
      </c>
      <c r="BJ41" s="92" t="e">
        <v>#VALUE!</v>
      </c>
      <c r="BN41" s="107"/>
      <c r="BP41" s="107">
        <v>9</v>
      </c>
      <c r="BU41" s="136"/>
      <c r="BV41" s="126"/>
      <c r="BW41" s="5"/>
      <c r="BX41" s="112"/>
      <c r="CA41" s="123" t="s">
        <v>181</v>
      </c>
      <c r="CB41" s="134" t="e">
        <f t="shared" si="4"/>
        <v>#VALUE!</v>
      </c>
      <c r="CC41" s="142" t="e">
        <f t="shared" si="5"/>
        <v>#VALUE!</v>
      </c>
      <c r="CD41" s="142" t="e">
        <f t="shared" si="6"/>
        <v>#VALUE!</v>
      </c>
    </row>
    <row r="42" ht="15" customHeight="1" spans="3:82">
      <c r="C42" s="66" t="e">
        <f>IF($C41&lt;&gt;"",IF($H41&gt;0,$C$36+6,""),"")</f>
        <v>#VALUE!</v>
      </c>
      <c r="D42" s="61" t="e">
        <f t="shared" si="8"/>
        <v>#VALUE!</v>
      </c>
      <c r="E42" s="67"/>
      <c r="F42" s="68" t="e">
        <f t="shared" si="9"/>
        <v>#VALUE!</v>
      </c>
      <c r="G42" s="69" t="e">
        <f t="shared" si="7"/>
        <v>#VALUE!</v>
      </c>
      <c r="H42" s="70" t="e">
        <f t="shared" si="2"/>
        <v>#VALUE!</v>
      </c>
      <c r="Y42" s="92" t="e">
        <f t="shared" si="3"/>
        <v>#VALUE!</v>
      </c>
      <c r="Z42" s="92" t="e">
        <v>#VALUE!</v>
      </c>
      <c r="AA42" s="92" t="e">
        <v>#VALUE!</v>
      </c>
      <c r="AB42" s="92" t="e">
        <v>#VALUE!</v>
      </c>
      <c r="AC42" s="92" t="e">
        <v>#VALUE!</v>
      </c>
      <c r="AD42" s="92" t="e">
        <v>#VALUE!</v>
      </c>
      <c r="AE42" s="92" t="e">
        <v>#VALUE!</v>
      </c>
      <c r="AF42" s="92" t="e">
        <f>IF($C42&lt;&gt;"",IF($C42-'[1]Ins(O)'!$C$56=0,'[1]Ins(O)'!$C$55,0),"")</f>
        <v>#VALUE!</v>
      </c>
      <c r="AG42" s="92" t="e">
        <f>IF($C42&lt;&gt;"",IF($C42-'[1]Ins(O)'!$D$56=0,'[1]Ins(O)'!$D$55,0),"")</f>
        <v>#VALUE!</v>
      </c>
      <c r="AH42" s="92" t="e">
        <f>IF($C42&lt;&gt;"",IF($C42-'[1]Ins(O)'!$E$56=0,'[1]Ins(O)'!$E$55,0),"")</f>
        <v>#VALUE!</v>
      </c>
      <c r="AI42" s="92" t="e">
        <f>IF($C42&lt;&gt;"",IF($C42-'[1]Ins(O)'!$F$56=0,'[1]Ins(O)'!$F$55,0),"")</f>
        <v>#VALUE!</v>
      </c>
      <c r="AJ42" s="92" t="e">
        <f>IF($C42&lt;&gt;"",IF($C42-'[1]Ins(O)'!$G$56=0,'[1]Ins(O)'!$G$55,0),"")</f>
        <v>#VALUE!</v>
      </c>
      <c r="AK42" s="92" t="e">
        <f>IF($C42&lt;&gt;"",IF($C42-'[1]Ins(O)'!$H$56=0,'[1]Ins(O)'!$H$55,0),"")</f>
        <v>#VALUE!</v>
      </c>
      <c r="AL42" s="92" t="e">
        <f>IF($C42&lt;&gt;"",IF($C42-'[1]Ins(O)'!$C$94=0,'[1]Ins(O)'!$C$93,0),"")</f>
        <v>#VALUE!</v>
      </c>
      <c r="AM42" s="92" t="e">
        <f>IF($C42&lt;&gt;"",IF($C42-'[1]Ins(O)'!$D$94=0,'[1]Ins(O)'!$D$93,0),"")</f>
        <v>#VALUE!</v>
      </c>
      <c r="AN42" s="92" t="e">
        <f>IF($C42&lt;&gt;"",IF($C42-'[1]Ins(O)'!$E$94=0,'[1]Ins(O)'!$E$93,0),"")</f>
        <v>#VALUE!</v>
      </c>
      <c r="AO42" s="92" t="e">
        <f>IF($C42&lt;&gt;"",IF($C42-'[1]Ins(O)'!$F$94=0,'[1]Ins(O)'!$F$93,0),"")</f>
        <v>#VALUE!</v>
      </c>
      <c r="AP42" s="92" t="e">
        <f>IF($C42&lt;&gt;"",IF($C42-'[1]Ins(O)'!$G$94=0,'[1]Ins(O)'!$G$93,0),"")</f>
        <v>#VALUE!</v>
      </c>
      <c r="AQ42" s="92" t="e">
        <f>IF($C42&lt;&gt;"",IF($C42-'[1]Ins(O)'!$H$94=0,'[1]Ins(O)'!$H$93,0),"")</f>
        <v>#VALUE!</v>
      </c>
      <c r="AS42" s="92" t="e">
        <v>#VALUE!</v>
      </c>
      <c r="AT42" s="92" t="e">
        <v>#VALUE!</v>
      </c>
      <c r="AU42" s="92" t="e">
        <v>#VALUE!</v>
      </c>
      <c r="AV42" s="92" t="e">
        <v>#VALUE!</v>
      </c>
      <c r="AW42" s="92" t="e">
        <v>#VALUE!</v>
      </c>
      <c r="AX42" s="92" t="e">
        <v>#VALUE!</v>
      </c>
      <c r="AY42" s="92" t="e">
        <v>#VALUE!</v>
      </c>
      <c r="AZ42" s="92" t="e">
        <v>#VALUE!</v>
      </c>
      <c r="BA42" s="92" t="e">
        <v>#VALUE!</v>
      </c>
      <c r="BB42" s="92" t="e">
        <v>#VALUE!</v>
      </c>
      <c r="BC42" s="92" t="e">
        <v>#VALUE!</v>
      </c>
      <c r="BD42" s="92" t="e">
        <v>#VALUE!</v>
      </c>
      <c r="BE42" s="92" t="e">
        <v>#VALUE!</v>
      </c>
      <c r="BF42" s="92" t="e">
        <v>#VALUE!</v>
      </c>
      <c r="BG42" s="92" t="e">
        <v>#VALUE!</v>
      </c>
      <c r="BH42" s="92" t="e">
        <v>#VALUE!</v>
      </c>
      <c r="BI42" s="92" t="e">
        <v>#VALUE!</v>
      </c>
      <c r="BJ42" s="92" t="e">
        <v>#VALUE!</v>
      </c>
      <c r="BN42" s="107"/>
      <c r="BP42" s="107">
        <v>10</v>
      </c>
      <c r="BQ42" s="3" t="s">
        <v>182</v>
      </c>
      <c r="BW42" s="20"/>
      <c r="BX42" s="112"/>
      <c r="CA42" s="123" t="s">
        <v>183</v>
      </c>
      <c r="CB42" s="134" t="e">
        <f t="shared" si="4"/>
        <v>#VALUE!</v>
      </c>
      <c r="CC42" s="142" t="e">
        <f t="shared" si="5"/>
        <v>#VALUE!</v>
      </c>
      <c r="CD42" s="142" t="e">
        <f t="shared" si="6"/>
        <v>#VALUE!</v>
      </c>
    </row>
    <row r="43" ht="15" customHeight="1" spans="3:82">
      <c r="C43" s="66" t="e">
        <f>IF($C42&lt;&gt;"",IF($H42&gt;0,$C$36+7,""),"")</f>
        <v>#VALUE!</v>
      </c>
      <c r="D43" s="61" t="e">
        <f t="shared" si="8"/>
        <v>#VALUE!</v>
      </c>
      <c r="E43" s="67"/>
      <c r="F43" s="68" t="e">
        <f t="shared" si="9"/>
        <v>#VALUE!</v>
      </c>
      <c r="G43" s="69" t="e">
        <f t="shared" si="7"/>
        <v>#VALUE!</v>
      </c>
      <c r="H43" s="70" t="e">
        <f t="shared" si="2"/>
        <v>#VALUE!</v>
      </c>
      <c r="Y43" s="92" t="e">
        <f t="shared" si="3"/>
        <v>#VALUE!</v>
      </c>
      <c r="Z43" s="92" t="e">
        <v>#VALUE!</v>
      </c>
      <c r="AA43" s="92" t="e">
        <v>#VALUE!</v>
      </c>
      <c r="AB43" s="92" t="e">
        <v>#VALUE!</v>
      </c>
      <c r="AC43" s="92" t="e">
        <v>#VALUE!</v>
      </c>
      <c r="AD43" s="92" t="e">
        <v>#VALUE!</v>
      </c>
      <c r="AE43" s="92" t="e">
        <v>#VALUE!</v>
      </c>
      <c r="AF43" s="92" t="e">
        <f>IF($C43&lt;&gt;"",IF($C43-'[1]Ins(O)'!$C$56=0,'[1]Ins(O)'!$C$55,0),"")</f>
        <v>#VALUE!</v>
      </c>
      <c r="AG43" s="92" t="e">
        <f>IF($C43&lt;&gt;"",IF($C43-'[1]Ins(O)'!$D$56=0,'[1]Ins(O)'!$D$55,0),"")</f>
        <v>#VALUE!</v>
      </c>
      <c r="AH43" s="92" t="e">
        <f>IF($C43&lt;&gt;"",IF($C43-'[1]Ins(O)'!$E$56=0,'[1]Ins(O)'!$E$55,0),"")</f>
        <v>#VALUE!</v>
      </c>
      <c r="AI43" s="92" t="e">
        <f>IF($C43&lt;&gt;"",IF($C43-'[1]Ins(O)'!$F$56=0,'[1]Ins(O)'!$F$55,0),"")</f>
        <v>#VALUE!</v>
      </c>
      <c r="AJ43" s="92" t="e">
        <f>IF($C43&lt;&gt;"",IF($C43-'[1]Ins(O)'!$G$56=0,'[1]Ins(O)'!$G$55,0),"")</f>
        <v>#VALUE!</v>
      </c>
      <c r="AK43" s="92" t="e">
        <f>IF($C43&lt;&gt;"",IF($C43-'[1]Ins(O)'!$H$56=0,'[1]Ins(O)'!$H$55,0),"")</f>
        <v>#VALUE!</v>
      </c>
      <c r="AL43" s="92" t="e">
        <f>IF($C43&lt;&gt;"",IF($C43-'[1]Ins(O)'!$C$94=0,'[1]Ins(O)'!$C$93,0),"")</f>
        <v>#VALUE!</v>
      </c>
      <c r="AM43" s="92" t="e">
        <f>IF($C43&lt;&gt;"",IF($C43-'[1]Ins(O)'!$D$94=0,'[1]Ins(O)'!$D$93,0),"")</f>
        <v>#VALUE!</v>
      </c>
      <c r="AN43" s="92" t="e">
        <f>IF($C43&lt;&gt;"",IF($C43-'[1]Ins(O)'!$E$94=0,'[1]Ins(O)'!$E$93,0),"")</f>
        <v>#VALUE!</v>
      </c>
      <c r="AO43" s="92" t="e">
        <f>IF($C43&lt;&gt;"",IF($C43-'[1]Ins(O)'!$F$94=0,'[1]Ins(O)'!$F$93,0),"")</f>
        <v>#VALUE!</v>
      </c>
      <c r="AP43" s="92" t="e">
        <f>IF($C43&lt;&gt;"",IF($C43-'[1]Ins(O)'!$G$94=0,'[1]Ins(O)'!$G$93,0),"")</f>
        <v>#VALUE!</v>
      </c>
      <c r="AQ43" s="92" t="e">
        <f>IF($C43&lt;&gt;"",IF($C43-'[1]Ins(O)'!$H$94=0,'[1]Ins(O)'!$H$93,0),"")</f>
        <v>#VALUE!</v>
      </c>
      <c r="AS43" s="92" t="e">
        <v>#VALUE!</v>
      </c>
      <c r="AT43" s="92" t="e">
        <v>#VALUE!</v>
      </c>
      <c r="AU43" s="92" t="e">
        <v>#VALUE!</v>
      </c>
      <c r="AV43" s="92" t="e">
        <v>#VALUE!</v>
      </c>
      <c r="AW43" s="92" t="e">
        <v>#VALUE!</v>
      </c>
      <c r="AX43" s="92" t="e">
        <v>#VALUE!</v>
      </c>
      <c r="AY43" s="92" t="e">
        <v>#VALUE!</v>
      </c>
      <c r="AZ43" s="92" t="e">
        <v>#VALUE!</v>
      </c>
      <c r="BA43" s="92" t="e">
        <v>#VALUE!</v>
      </c>
      <c r="BB43" s="92" t="e">
        <v>#VALUE!</v>
      </c>
      <c r="BC43" s="92" t="e">
        <v>#VALUE!</v>
      </c>
      <c r="BD43" s="92" t="e">
        <v>#VALUE!</v>
      </c>
      <c r="BE43" s="92" t="e">
        <v>#VALUE!</v>
      </c>
      <c r="BF43" s="92" t="e">
        <v>#VALUE!</v>
      </c>
      <c r="BG43" s="92" t="e">
        <v>#VALUE!</v>
      </c>
      <c r="BH43" s="92" t="e">
        <v>#VALUE!</v>
      </c>
      <c r="BI43" s="92" t="e">
        <v>#VALUE!</v>
      </c>
      <c r="BJ43" s="92" t="e">
        <v>#VALUE!</v>
      </c>
      <c r="BN43" s="107"/>
      <c r="BP43" s="107">
        <v>11</v>
      </c>
      <c r="BQ43" s="3" t="s">
        <v>184</v>
      </c>
      <c r="BU43" s="137">
        <f>IF($BU$9&lt;=54,(($BU$28*((1+$BT$28)^($BU$9-$BU$7)))+($BU$27*((1+$BT$27)^($BU$9-$BU$7)))+($BU$26*((1+$BT$26)^($BU$9-$BU$7)))+(($BU$29*((((1+($BT$29/12)))^((12*($BU$9-$BU$7)))-1)/($BT$29/12)))*BV29)+(($BU$31*(((((1+$BT$31)^($BU$9-$BU$7)))-1)/$BT$31))*BV31)+(BU24*((1+BT24)^($BU$9-$BU$7)))+($BU$25*((((((1+$BT$25)^($BU$9-$BU$7)))-1)/$BT$25)*BV25))),0)</f>
        <v>0</v>
      </c>
      <c r="BV43" s="126"/>
      <c r="BW43" s="5">
        <f>($BU$25*(((((1+$BT$25)^($BU$9-$BU$7)))-1)/$BT$25))</f>
        <v>0</v>
      </c>
      <c r="BX43" s="112"/>
      <c r="CA43" s="123" t="s">
        <v>185</v>
      </c>
      <c r="CB43" s="134" t="e">
        <f t="shared" si="4"/>
        <v>#VALUE!</v>
      </c>
      <c r="CC43" s="142" t="e">
        <f t="shared" si="5"/>
        <v>#VALUE!</v>
      </c>
      <c r="CD43" s="142" t="e">
        <f t="shared" si="6"/>
        <v>#VALUE!</v>
      </c>
    </row>
    <row r="44" ht="15" customHeight="1" spans="3:82">
      <c r="C44" s="66" t="e">
        <f>IF($C43&lt;&gt;"",IF($H43&gt;0,$C$36+8,""),"")</f>
        <v>#VALUE!</v>
      </c>
      <c r="D44" s="61" t="e">
        <f t="shared" si="8"/>
        <v>#VALUE!</v>
      </c>
      <c r="E44" s="67"/>
      <c r="F44" s="68" t="e">
        <f t="shared" si="9"/>
        <v>#VALUE!</v>
      </c>
      <c r="G44" s="69" t="e">
        <f t="shared" si="7"/>
        <v>#VALUE!</v>
      </c>
      <c r="H44" s="70" t="e">
        <f t="shared" si="2"/>
        <v>#VALUE!</v>
      </c>
      <c r="Y44" s="92" t="e">
        <f t="shared" si="3"/>
        <v>#VALUE!</v>
      </c>
      <c r="Z44" s="92" t="e">
        <v>#VALUE!</v>
      </c>
      <c r="AA44" s="92" t="e">
        <v>#VALUE!</v>
      </c>
      <c r="AB44" s="92" t="e">
        <v>#VALUE!</v>
      </c>
      <c r="AC44" s="92" t="e">
        <v>#VALUE!</v>
      </c>
      <c r="AD44" s="92" t="e">
        <v>#VALUE!</v>
      </c>
      <c r="AE44" s="92" t="e">
        <v>#VALUE!</v>
      </c>
      <c r="AF44" s="92" t="e">
        <f>IF($C44&lt;&gt;"",IF($C44-'[1]Ins(O)'!$C$56=0,'[1]Ins(O)'!$C$55,0),"")</f>
        <v>#VALUE!</v>
      </c>
      <c r="AG44" s="92" t="e">
        <f>IF($C44&lt;&gt;"",IF($C44-'[1]Ins(O)'!$D$56=0,'[1]Ins(O)'!$D$55,0),"")</f>
        <v>#VALUE!</v>
      </c>
      <c r="AH44" s="92" t="e">
        <f>IF($C44&lt;&gt;"",IF($C44-'[1]Ins(O)'!$E$56=0,'[1]Ins(O)'!$E$55,0),"")</f>
        <v>#VALUE!</v>
      </c>
      <c r="AI44" s="92" t="e">
        <f>IF($C44&lt;&gt;"",IF($C44-'[1]Ins(O)'!$F$56=0,'[1]Ins(O)'!$F$55,0),"")</f>
        <v>#VALUE!</v>
      </c>
      <c r="AJ44" s="92" t="e">
        <f>IF($C44&lt;&gt;"",IF($C44-'[1]Ins(O)'!$G$56=0,'[1]Ins(O)'!$G$55,0),"")</f>
        <v>#VALUE!</v>
      </c>
      <c r="AK44" s="92" t="e">
        <f>IF($C44&lt;&gt;"",IF($C44-'[1]Ins(O)'!$H$56=0,'[1]Ins(O)'!$H$55,0),"")</f>
        <v>#VALUE!</v>
      </c>
      <c r="AL44" s="92" t="e">
        <f>IF($C44&lt;&gt;"",IF($C44-'[1]Ins(O)'!$C$94=0,'[1]Ins(O)'!$C$93,0),"")</f>
        <v>#VALUE!</v>
      </c>
      <c r="AM44" s="92" t="e">
        <f>IF($C44&lt;&gt;"",IF($C44-'[1]Ins(O)'!$D$94=0,'[1]Ins(O)'!$D$93,0),"")</f>
        <v>#VALUE!</v>
      </c>
      <c r="AN44" s="92" t="e">
        <f>IF($C44&lt;&gt;"",IF($C44-'[1]Ins(O)'!$E$94=0,'[1]Ins(O)'!$E$93,0),"")</f>
        <v>#VALUE!</v>
      </c>
      <c r="AO44" s="92" t="e">
        <f>IF($C44&lt;&gt;"",IF($C44-'[1]Ins(O)'!$F$94=0,'[1]Ins(O)'!$F$93,0),"")</f>
        <v>#VALUE!</v>
      </c>
      <c r="AP44" s="92" t="e">
        <f>IF($C44&lt;&gt;"",IF($C44-'[1]Ins(O)'!$G$94=0,'[1]Ins(O)'!$G$93,0),"")</f>
        <v>#VALUE!</v>
      </c>
      <c r="AQ44" s="92" t="e">
        <f>IF($C44&lt;&gt;"",IF($C44-'[1]Ins(O)'!$H$94=0,'[1]Ins(O)'!$H$93,0),"")</f>
        <v>#VALUE!</v>
      </c>
      <c r="AS44" s="92" t="e">
        <v>#VALUE!</v>
      </c>
      <c r="AT44" s="92" t="e">
        <v>#VALUE!</v>
      </c>
      <c r="AU44" s="92" t="e">
        <v>#VALUE!</v>
      </c>
      <c r="AV44" s="92" t="e">
        <v>#VALUE!</v>
      </c>
      <c r="AW44" s="92" t="e">
        <v>#VALUE!</v>
      </c>
      <c r="AX44" s="92" t="e">
        <v>#VALUE!</v>
      </c>
      <c r="AY44" s="92" t="e">
        <v>#VALUE!</v>
      </c>
      <c r="AZ44" s="92" t="e">
        <v>#VALUE!</v>
      </c>
      <c r="BA44" s="92" t="e">
        <v>#VALUE!</v>
      </c>
      <c r="BB44" s="92" t="e">
        <v>#VALUE!</v>
      </c>
      <c r="BC44" s="92" t="e">
        <v>#VALUE!</v>
      </c>
      <c r="BD44" s="92" t="e">
        <v>#VALUE!</v>
      </c>
      <c r="BE44" s="92" t="e">
        <v>#VALUE!</v>
      </c>
      <c r="BF44" s="92" t="e">
        <v>#VALUE!</v>
      </c>
      <c r="BG44" s="92" t="e">
        <v>#VALUE!</v>
      </c>
      <c r="BH44" s="92" t="e">
        <v>#VALUE!</v>
      </c>
      <c r="BI44" s="92" t="e">
        <v>#VALUE!</v>
      </c>
      <c r="BJ44" s="92" t="e">
        <v>#VALUE!</v>
      </c>
      <c r="BN44" s="107"/>
      <c r="BO44" s="4"/>
      <c r="BP44" s="107">
        <v>12</v>
      </c>
      <c r="BU44" s="107"/>
      <c r="BV44" s="126"/>
      <c r="BW44" s="5"/>
      <c r="BX44" s="112"/>
      <c r="CA44" s="123" t="s">
        <v>186</v>
      </c>
      <c r="CB44" s="134" t="e">
        <f t="shared" si="4"/>
        <v>#VALUE!</v>
      </c>
      <c r="CC44" s="142" t="e">
        <f t="shared" si="5"/>
        <v>#VALUE!</v>
      </c>
      <c r="CD44" s="142" t="e">
        <f t="shared" si="6"/>
        <v>#VALUE!</v>
      </c>
    </row>
    <row r="45" ht="15" customHeight="1" spans="3:82">
      <c r="C45" s="66" t="e">
        <f>IF($C44&lt;&gt;"",IF($H44&gt;0,$C$36+9,""),"")</f>
        <v>#VALUE!</v>
      </c>
      <c r="D45" s="61" t="e">
        <f t="shared" si="8"/>
        <v>#VALUE!</v>
      </c>
      <c r="E45" s="67"/>
      <c r="F45" s="68" t="e">
        <f t="shared" si="9"/>
        <v>#VALUE!</v>
      </c>
      <c r="G45" s="69" t="e">
        <f t="shared" si="7"/>
        <v>#VALUE!</v>
      </c>
      <c r="H45" s="70" t="e">
        <f t="shared" si="2"/>
        <v>#VALUE!</v>
      </c>
      <c r="Y45" s="92" t="e">
        <f t="shared" si="3"/>
        <v>#VALUE!</v>
      </c>
      <c r="Z45" s="92" t="e">
        <v>#VALUE!</v>
      </c>
      <c r="AA45" s="92" t="e">
        <v>#VALUE!</v>
      </c>
      <c r="AB45" s="92" t="e">
        <v>#VALUE!</v>
      </c>
      <c r="AC45" s="92" t="e">
        <v>#VALUE!</v>
      </c>
      <c r="AD45" s="92" t="e">
        <v>#VALUE!</v>
      </c>
      <c r="AE45" s="92" t="e">
        <v>#VALUE!</v>
      </c>
      <c r="AF45" s="92" t="e">
        <f>IF($C45&lt;&gt;"",IF($C45-'[1]Ins(O)'!$C$56=0,'[1]Ins(O)'!$C$55,0),"")</f>
        <v>#VALUE!</v>
      </c>
      <c r="AG45" s="92" t="e">
        <f>IF($C45&lt;&gt;"",IF($C45-'[1]Ins(O)'!$D$56=0,'[1]Ins(O)'!$D$55,0),"")</f>
        <v>#VALUE!</v>
      </c>
      <c r="AH45" s="92" t="e">
        <f>IF($C45&lt;&gt;"",IF($C45-'[1]Ins(O)'!$E$56=0,'[1]Ins(O)'!$E$55,0),"")</f>
        <v>#VALUE!</v>
      </c>
      <c r="AI45" s="92" t="e">
        <f>IF($C45&lt;&gt;"",IF($C45-'[1]Ins(O)'!$F$56=0,'[1]Ins(O)'!$F$55,0),"")</f>
        <v>#VALUE!</v>
      </c>
      <c r="AJ45" s="92" t="e">
        <f>IF($C45&lt;&gt;"",IF($C45-'[1]Ins(O)'!$G$56=0,'[1]Ins(O)'!$G$55,0),"")</f>
        <v>#VALUE!</v>
      </c>
      <c r="AK45" s="92" t="e">
        <f>IF($C45&lt;&gt;"",IF($C45-'[1]Ins(O)'!$H$56=0,'[1]Ins(O)'!$H$55,0),"")</f>
        <v>#VALUE!</v>
      </c>
      <c r="AL45" s="92" t="e">
        <f>IF($C45&lt;&gt;"",IF($C45-'[1]Ins(O)'!$C$94=0,'[1]Ins(O)'!$C$93,0),"")</f>
        <v>#VALUE!</v>
      </c>
      <c r="AM45" s="92" t="e">
        <f>IF($C45&lt;&gt;"",IF($C45-'[1]Ins(O)'!$D$94=0,'[1]Ins(O)'!$D$93,0),"")</f>
        <v>#VALUE!</v>
      </c>
      <c r="AN45" s="92" t="e">
        <f>IF($C45&lt;&gt;"",IF($C45-'[1]Ins(O)'!$E$94=0,'[1]Ins(O)'!$E$93,0),"")</f>
        <v>#VALUE!</v>
      </c>
      <c r="AO45" s="92" t="e">
        <f>IF($C45&lt;&gt;"",IF($C45-'[1]Ins(O)'!$F$94=0,'[1]Ins(O)'!$F$93,0),"")</f>
        <v>#VALUE!</v>
      </c>
      <c r="AP45" s="92" t="e">
        <f>IF($C45&lt;&gt;"",IF($C45-'[1]Ins(O)'!$G$94=0,'[1]Ins(O)'!$G$93,0),"")</f>
        <v>#VALUE!</v>
      </c>
      <c r="AQ45" s="92" t="e">
        <f>IF($C45&lt;&gt;"",IF($C45-'[1]Ins(O)'!$H$94=0,'[1]Ins(O)'!$H$93,0),"")</f>
        <v>#VALUE!</v>
      </c>
      <c r="AS45" s="92" t="e">
        <v>#VALUE!</v>
      </c>
      <c r="AT45" s="92" t="e">
        <v>#VALUE!</v>
      </c>
      <c r="AU45" s="92" t="e">
        <v>#VALUE!</v>
      </c>
      <c r="AV45" s="92" t="e">
        <v>#VALUE!</v>
      </c>
      <c r="AW45" s="92" t="e">
        <v>#VALUE!</v>
      </c>
      <c r="AX45" s="92" t="e">
        <v>#VALUE!</v>
      </c>
      <c r="AY45" s="92" t="e">
        <v>#VALUE!</v>
      </c>
      <c r="AZ45" s="92" t="e">
        <v>#VALUE!</v>
      </c>
      <c r="BA45" s="92" t="e">
        <v>#VALUE!</v>
      </c>
      <c r="BB45" s="92" t="e">
        <v>#VALUE!</v>
      </c>
      <c r="BC45" s="92" t="e">
        <v>#VALUE!</v>
      </c>
      <c r="BD45" s="92" t="e">
        <v>#VALUE!</v>
      </c>
      <c r="BE45" s="92" t="e">
        <v>#VALUE!</v>
      </c>
      <c r="BF45" s="92" t="e">
        <v>#VALUE!</v>
      </c>
      <c r="BG45" s="92" t="e">
        <v>#VALUE!</v>
      </c>
      <c r="BH45" s="92" t="e">
        <v>#VALUE!</v>
      </c>
      <c r="BI45" s="92" t="e">
        <v>#VALUE!</v>
      </c>
      <c r="BJ45" s="92" t="e">
        <v>#VALUE!</v>
      </c>
      <c r="BN45" s="107"/>
      <c r="BO45" s="4"/>
      <c r="BP45" s="107">
        <v>13</v>
      </c>
      <c r="BQ45" s="3" t="s">
        <v>187</v>
      </c>
      <c r="BW45" s="20"/>
      <c r="BX45" s="112"/>
      <c r="CA45" s="123" t="s">
        <v>188</v>
      </c>
      <c r="CB45" s="134" t="e">
        <f t="shared" si="4"/>
        <v>#VALUE!</v>
      </c>
      <c r="CC45" s="142" t="e">
        <f t="shared" si="5"/>
        <v>#VALUE!</v>
      </c>
      <c r="CD45" s="142" t="e">
        <f t="shared" si="6"/>
        <v>#VALUE!</v>
      </c>
    </row>
    <row r="46" ht="15" customHeight="1" spans="3:82">
      <c r="C46" s="71" t="e">
        <f>IF($C45&lt;&gt;"",IF($H45&gt;0,$C$36+10,""),"")</f>
        <v>#VALUE!</v>
      </c>
      <c r="D46" s="61" t="e">
        <f t="shared" si="8"/>
        <v>#VALUE!</v>
      </c>
      <c r="E46" s="67"/>
      <c r="F46" s="68" t="e">
        <f t="shared" si="9"/>
        <v>#VALUE!</v>
      </c>
      <c r="G46" s="69" t="e">
        <f t="shared" si="7"/>
        <v>#VALUE!</v>
      </c>
      <c r="H46" s="70" t="e">
        <f t="shared" si="2"/>
        <v>#VALUE!</v>
      </c>
      <c r="Y46" s="92" t="e">
        <f t="shared" si="3"/>
        <v>#VALUE!</v>
      </c>
      <c r="Z46" s="92" t="e">
        <v>#VALUE!</v>
      </c>
      <c r="AA46" s="92" t="e">
        <v>#VALUE!</v>
      </c>
      <c r="AB46" s="92" t="e">
        <v>#VALUE!</v>
      </c>
      <c r="AC46" s="92" t="e">
        <v>#VALUE!</v>
      </c>
      <c r="AD46" s="92" t="e">
        <v>#VALUE!</v>
      </c>
      <c r="AE46" s="92" t="e">
        <v>#VALUE!</v>
      </c>
      <c r="AF46" s="92" t="e">
        <f>IF($C46&lt;&gt;"",IF($C46-'[1]Ins(O)'!$C$56=0,'[1]Ins(O)'!$C$55,0),"")</f>
        <v>#VALUE!</v>
      </c>
      <c r="AG46" s="92" t="e">
        <f>IF($C46&lt;&gt;"",IF($C46-'[1]Ins(O)'!$D$56=0,'[1]Ins(O)'!$D$55,0),"")</f>
        <v>#VALUE!</v>
      </c>
      <c r="AH46" s="92" t="e">
        <f>IF($C46&lt;&gt;"",IF($C46-'[1]Ins(O)'!$E$56=0,'[1]Ins(O)'!$E$55,0),"")</f>
        <v>#VALUE!</v>
      </c>
      <c r="AI46" s="92" t="e">
        <f>IF($C46&lt;&gt;"",IF($C46-'[1]Ins(O)'!$F$56=0,'[1]Ins(O)'!$F$55,0),"")</f>
        <v>#VALUE!</v>
      </c>
      <c r="AJ46" s="92" t="e">
        <f>IF($C46&lt;&gt;"",IF($C46-'[1]Ins(O)'!$G$56=0,'[1]Ins(O)'!$G$55,0),"")</f>
        <v>#VALUE!</v>
      </c>
      <c r="AK46" s="92" t="e">
        <f>IF($C46&lt;&gt;"",IF($C46-'[1]Ins(O)'!$H$56=0,'[1]Ins(O)'!$H$55,0),"")</f>
        <v>#VALUE!</v>
      </c>
      <c r="AL46" s="92" t="e">
        <f>IF($C46&lt;&gt;"",IF($C46-'[1]Ins(O)'!$C$94=0,'[1]Ins(O)'!$C$93,0),"")</f>
        <v>#VALUE!</v>
      </c>
      <c r="AM46" s="92" t="e">
        <f>IF($C46&lt;&gt;"",IF($C46-'[1]Ins(O)'!$D$94=0,'[1]Ins(O)'!$D$93,0),"")</f>
        <v>#VALUE!</v>
      </c>
      <c r="AN46" s="92" t="e">
        <f>IF($C46&lt;&gt;"",IF($C46-'[1]Ins(O)'!$E$94=0,'[1]Ins(O)'!$E$93,0),"")</f>
        <v>#VALUE!</v>
      </c>
      <c r="AO46" s="92" t="e">
        <f>IF($C46&lt;&gt;"",IF($C46-'[1]Ins(O)'!$F$94=0,'[1]Ins(O)'!$F$93,0),"")</f>
        <v>#VALUE!</v>
      </c>
      <c r="AP46" s="92" t="e">
        <f>IF($C46&lt;&gt;"",IF($C46-'[1]Ins(O)'!$G$94=0,'[1]Ins(O)'!$G$93,0),"")</f>
        <v>#VALUE!</v>
      </c>
      <c r="AQ46" s="92" t="e">
        <f>IF($C46&lt;&gt;"",IF($C46-'[1]Ins(O)'!$H$94=0,'[1]Ins(O)'!$H$93,0),"")</f>
        <v>#VALUE!</v>
      </c>
      <c r="AS46" s="92" t="e">
        <v>#VALUE!</v>
      </c>
      <c r="AT46" s="92" t="e">
        <v>#VALUE!</v>
      </c>
      <c r="AU46" s="92" t="e">
        <v>#VALUE!</v>
      </c>
      <c r="AV46" s="92" t="e">
        <v>#VALUE!</v>
      </c>
      <c r="AW46" s="92" t="e">
        <v>#VALUE!</v>
      </c>
      <c r="AX46" s="92" t="e">
        <v>#VALUE!</v>
      </c>
      <c r="AY46" s="92" t="e">
        <v>#VALUE!</v>
      </c>
      <c r="AZ46" s="92" t="e">
        <v>#VALUE!</v>
      </c>
      <c r="BA46" s="92" t="e">
        <v>#VALUE!</v>
      </c>
      <c r="BB46" s="92" t="e">
        <v>#VALUE!</v>
      </c>
      <c r="BC46" s="92" t="e">
        <v>#VALUE!</v>
      </c>
      <c r="BD46" s="92" t="e">
        <v>#VALUE!</v>
      </c>
      <c r="BE46" s="92" t="e">
        <v>#VALUE!</v>
      </c>
      <c r="BF46" s="92" t="e">
        <v>#VALUE!</v>
      </c>
      <c r="BG46" s="92" t="e">
        <v>#VALUE!</v>
      </c>
      <c r="BH46" s="92" t="e">
        <v>#VALUE!</v>
      </c>
      <c r="BI46" s="92" t="e">
        <v>#VALUE!</v>
      </c>
      <c r="BJ46" s="92" t="e">
        <v>#VALUE!</v>
      </c>
      <c r="BN46" s="107"/>
      <c r="BO46" s="4"/>
      <c r="BP46" s="107">
        <v>14</v>
      </c>
      <c r="BQ46" s="3" t="s">
        <v>189</v>
      </c>
      <c r="BU46" s="138">
        <f>IF($BU$9=55,(($BU$28*((1+$BT$28)^($BU$9-$BU$7)))+($BU$27*((1+$BT$27)^($BU$9-$BU$7)))+($BU$26*((1+$BT$26)^($BU$9-$BU$7)))+($BU$29*((((1+($BT$29/12)))^((12*($BU$9-$BU$7)))-1)/($BT$29/12)))+($BU$31*(((((1+$BT$31)^($BU$9-$BU$7)))-1)/$BT$31))+(BU24*((1+BT24)^($BU$9-$BU$7)))+($BU$25*(((((1+$BT$25)^($BU$9-$BU$7)))-1)/$BT$25))),0)</f>
        <v>0</v>
      </c>
      <c r="BV46" s="126"/>
      <c r="BW46" s="5"/>
      <c r="BX46" s="112"/>
      <c r="CB46" s="134" t="e">
        <f t="shared" si="4"/>
        <v>#VALUE!</v>
      </c>
      <c r="CC46" s="142" t="e">
        <f t="shared" si="5"/>
        <v>#VALUE!</v>
      </c>
      <c r="CD46" s="142" t="e">
        <f t="shared" si="6"/>
        <v>#VALUE!</v>
      </c>
    </row>
    <row r="47" ht="15" customHeight="1" spans="3:82">
      <c r="C47" s="71" t="e">
        <f>IF($C46&lt;&gt;"",IF($H46&gt;0,$C$36+11,""),"")</f>
        <v>#VALUE!</v>
      </c>
      <c r="D47" s="61" t="e">
        <f t="shared" si="8"/>
        <v>#VALUE!</v>
      </c>
      <c r="E47" s="67"/>
      <c r="F47" s="68" t="e">
        <f t="shared" si="9"/>
        <v>#VALUE!</v>
      </c>
      <c r="G47" s="69" t="e">
        <f t="shared" si="7"/>
        <v>#VALUE!</v>
      </c>
      <c r="H47" s="70" t="e">
        <f t="shared" si="2"/>
        <v>#VALUE!</v>
      </c>
      <c r="Y47" s="92" t="e">
        <f t="shared" si="3"/>
        <v>#VALUE!</v>
      </c>
      <c r="Z47" s="92" t="e">
        <v>#VALUE!</v>
      </c>
      <c r="AA47" s="92" t="e">
        <v>#VALUE!</v>
      </c>
      <c r="AB47" s="92" t="e">
        <v>#VALUE!</v>
      </c>
      <c r="AC47" s="92" t="e">
        <v>#VALUE!</v>
      </c>
      <c r="AD47" s="92" t="e">
        <v>#VALUE!</v>
      </c>
      <c r="AE47" s="92" t="e">
        <v>#VALUE!</v>
      </c>
      <c r="AF47" s="92" t="e">
        <f>IF($C47&lt;&gt;"",IF($C47-'[1]Ins(O)'!$C$56=0,'[1]Ins(O)'!$C$55,0),"")</f>
        <v>#VALUE!</v>
      </c>
      <c r="AG47" s="92" t="e">
        <f>IF($C47&lt;&gt;"",IF($C47-'[1]Ins(O)'!$D$56=0,'[1]Ins(O)'!$D$55,0),"")</f>
        <v>#VALUE!</v>
      </c>
      <c r="AH47" s="92" t="e">
        <f>IF($C47&lt;&gt;"",IF($C47-'[1]Ins(O)'!$E$56=0,'[1]Ins(O)'!$E$55,0),"")</f>
        <v>#VALUE!</v>
      </c>
      <c r="AI47" s="92" t="e">
        <f>IF($C47&lt;&gt;"",IF($C47-'[1]Ins(O)'!$F$56=0,'[1]Ins(O)'!$F$55,0),"")</f>
        <v>#VALUE!</v>
      </c>
      <c r="AJ47" s="92" t="e">
        <f>IF($C47&lt;&gt;"",IF($C47-'[1]Ins(O)'!$G$56=0,'[1]Ins(O)'!$G$55,0),"")</f>
        <v>#VALUE!</v>
      </c>
      <c r="AK47" s="92" t="e">
        <f>IF($C47&lt;&gt;"",IF($C47-'[1]Ins(O)'!$H$56=0,'[1]Ins(O)'!$H$55,0),"")</f>
        <v>#VALUE!</v>
      </c>
      <c r="AL47" s="92" t="e">
        <f>IF($C47&lt;&gt;"",IF($C47-'[1]Ins(O)'!$C$94=0,'[1]Ins(O)'!$C$93,0),"")</f>
        <v>#VALUE!</v>
      </c>
      <c r="AM47" s="92" t="e">
        <f>IF($C47&lt;&gt;"",IF($C47-'[1]Ins(O)'!$D$94=0,'[1]Ins(O)'!$D$93,0),"")</f>
        <v>#VALUE!</v>
      </c>
      <c r="AN47" s="92" t="e">
        <f>IF($C47&lt;&gt;"",IF($C47-'[1]Ins(O)'!$E$94=0,'[1]Ins(O)'!$E$93,0),"")</f>
        <v>#VALUE!</v>
      </c>
      <c r="AO47" s="92" t="e">
        <f>IF($C47&lt;&gt;"",IF($C47-'[1]Ins(O)'!$F$94=0,'[1]Ins(O)'!$F$93,0),"")</f>
        <v>#VALUE!</v>
      </c>
      <c r="AP47" s="92" t="e">
        <f>IF($C47&lt;&gt;"",IF($C47-'[1]Ins(O)'!$G$94=0,'[1]Ins(O)'!$G$93,0),"")</f>
        <v>#VALUE!</v>
      </c>
      <c r="AQ47" s="92" t="e">
        <f>IF($C47&lt;&gt;"",IF($C47-'[1]Ins(O)'!$H$94=0,'[1]Ins(O)'!$H$93,0),"")</f>
        <v>#VALUE!</v>
      </c>
      <c r="AS47" s="92" t="e">
        <v>#VALUE!</v>
      </c>
      <c r="AT47" s="92" t="e">
        <v>#VALUE!</v>
      </c>
      <c r="AU47" s="92" t="e">
        <v>#VALUE!</v>
      </c>
      <c r="AV47" s="92" t="e">
        <v>#VALUE!</v>
      </c>
      <c r="AW47" s="92" t="e">
        <v>#VALUE!</v>
      </c>
      <c r="AX47" s="92" t="e">
        <v>#VALUE!</v>
      </c>
      <c r="AY47" s="92" t="e">
        <v>#VALUE!</v>
      </c>
      <c r="AZ47" s="92" t="e">
        <v>#VALUE!</v>
      </c>
      <c r="BA47" s="92" t="e">
        <v>#VALUE!</v>
      </c>
      <c r="BB47" s="92" t="e">
        <v>#VALUE!</v>
      </c>
      <c r="BC47" s="92" t="e">
        <v>#VALUE!</v>
      </c>
      <c r="BD47" s="92" t="e">
        <v>#VALUE!</v>
      </c>
      <c r="BE47" s="92" t="e">
        <v>#VALUE!</v>
      </c>
      <c r="BF47" s="92" t="e">
        <v>#VALUE!</v>
      </c>
      <c r="BG47" s="92" t="e">
        <v>#VALUE!</v>
      </c>
      <c r="BH47" s="92" t="e">
        <v>#VALUE!</v>
      </c>
      <c r="BI47" s="92" t="e">
        <v>#VALUE!</v>
      </c>
      <c r="BJ47" s="92" t="e">
        <v>#VALUE!</v>
      </c>
      <c r="BN47" s="107"/>
      <c r="BP47" s="107">
        <v>15</v>
      </c>
      <c r="BU47" s="136"/>
      <c r="BV47" s="126"/>
      <c r="BW47" s="5"/>
      <c r="BX47" s="112"/>
      <c r="CB47" s="134" t="e">
        <f t="shared" si="4"/>
        <v>#VALUE!</v>
      </c>
      <c r="CC47" s="142" t="e">
        <f t="shared" si="5"/>
        <v>#VALUE!</v>
      </c>
      <c r="CD47" s="142" t="e">
        <f t="shared" si="6"/>
        <v>#VALUE!</v>
      </c>
    </row>
    <row r="48" ht="15" customHeight="1" spans="3:82">
      <c r="C48" s="71" t="e">
        <f>IF($C47&lt;&gt;"",IF($H47&gt;0,$C$36+12,""),"")</f>
        <v>#VALUE!</v>
      </c>
      <c r="D48" s="61" t="e">
        <f t="shared" si="8"/>
        <v>#VALUE!</v>
      </c>
      <c r="E48" s="67"/>
      <c r="F48" s="68" t="e">
        <f t="shared" si="9"/>
        <v>#VALUE!</v>
      </c>
      <c r="G48" s="69" t="e">
        <f t="shared" si="7"/>
        <v>#VALUE!</v>
      </c>
      <c r="H48" s="70" t="e">
        <f t="shared" si="2"/>
        <v>#VALUE!</v>
      </c>
      <c r="Y48" s="92" t="e">
        <f t="shared" si="3"/>
        <v>#VALUE!</v>
      </c>
      <c r="Z48" s="92" t="e">
        <v>#VALUE!</v>
      </c>
      <c r="AA48" s="92" t="e">
        <v>#VALUE!</v>
      </c>
      <c r="AB48" s="92" t="e">
        <v>#VALUE!</v>
      </c>
      <c r="AC48" s="92" t="e">
        <v>#VALUE!</v>
      </c>
      <c r="AD48" s="92" t="e">
        <v>#VALUE!</v>
      </c>
      <c r="AE48" s="92" t="e">
        <v>#VALUE!</v>
      </c>
      <c r="AF48" s="92" t="e">
        <f>IF($C48&lt;&gt;"",IF($C48-'[1]Ins(O)'!$C$56=0,'[1]Ins(O)'!$C$55,0),"")</f>
        <v>#VALUE!</v>
      </c>
      <c r="AG48" s="92" t="e">
        <f>IF($C48&lt;&gt;"",IF($C48-'[1]Ins(O)'!$D$56=0,'[1]Ins(O)'!$D$55,0),"")</f>
        <v>#VALUE!</v>
      </c>
      <c r="AH48" s="92" t="e">
        <f>IF($C48&lt;&gt;"",IF($C48-'[1]Ins(O)'!$E$56=0,'[1]Ins(O)'!$E$55,0),"")</f>
        <v>#VALUE!</v>
      </c>
      <c r="AI48" s="92" t="e">
        <f>IF($C48&lt;&gt;"",IF($C48-'[1]Ins(O)'!$F$56=0,'[1]Ins(O)'!$F$55,0),"")</f>
        <v>#VALUE!</v>
      </c>
      <c r="AJ48" s="92" t="e">
        <f>IF($C48&lt;&gt;"",IF($C48-'[1]Ins(O)'!$G$56=0,'[1]Ins(O)'!$G$55,0),"")</f>
        <v>#VALUE!</v>
      </c>
      <c r="AK48" s="92" t="e">
        <f>IF($C48&lt;&gt;"",IF($C48-'[1]Ins(O)'!$H$56=0,'[1]Ins(O)'!$H$55,0),"")</f>
        <v>#VALUE!</v>
      </c>
      <c r="AL48" s="92" t="e">
        <f>IF($C48&lt;&gt;"",IF($C48-'[1]Ins(O)'!$C$94=0,'[1]Ins(O)'!$C$93,0),"")</f>
        <v>#VALUE!</v>
      </c>
      <c r="AM48" s="92" t="e">
        <f>IF($C48&lt;&gt;"",IF($C48-'[1]Ins(O)'!$D$94=0,'[1]Ins(O)'!$D$93,0),"")</f>
        <v>#VALUE!</v>
      </c>
      <c r="AN48" s="92" t="e">
        <f>IF($C48&lt;&gt;"",IF($C48-'[1]Ins(O)'!$E$94=0,'[1]Ins(O)'!$E$93,0),"")</f>
        <v>#VALUE!</v>
      </c>
      <c r="AO48" s="92" t="e">
        <f>IF($C48&lt;&gt;"",IF($C48-'[1]Ins(O)'!$F$94=0,'[1]Ins(O)'!$F$93,0),"")</f>
        <v>#VALUE!</v>
      </c>
      <c r="AP48" s="92" t="e">
        <f>IF($C48&lt;&gt;"",IF($C48-'[1]Ins(O)'!$G$94=0,'[1]Ins(O)'!$G$93,0),"")</f>
        <v>#VALUE!</v>
      </c>
      <c r="AQ48" s="92" t="e">
        <f>IF($C48&lt;&gt;"",IF($C48-'[1]Ins(O)'!$H$94=0,'[1]Ins(O)'!$H$93,0),"")</f>
        <v>#VALUE!</v>
      </c>
      <c r="AS48" s="92" t="e">
        <v>#VALUE!</v>
      </c>
      <c r="AT48" s="92" t="e">
        <v>#VALUE!</v>
      </c>
      <c r="AU48" s="92" t="e">
        <v>#VALUE!</v>
      </c>
      <c r="AV48" s="92" t="e">
        <v>#VALUE!</v>
      </c>
      <c r="AW48" s="92" t="e">
        <v>#VALUE!</v>
      </c>
      <c r="AX48" s="92" t="e">
        <v>#VALUE!</v>
      </c>
      <c r="AY48" s="92" t="e">
        <v>#VALUE!</v>
      </c>
      <c r="AZ48" s="92" t="e">
        <v>#VALUE!</v>
      </c>
      <c r="BA48" s="92" t="e">
        <v>#VALUE!</v>
      </c>
      <c r="BB48" s="92" t="e">
        <v>#VALUE!</v>
      </c>
      <c r="BC48" s="92" t="e">
        <v>#VALUE!</v>
      </c>
      <c r="BD48" s="92" t="e">
        <v>#VALUE!</v>
      </c>
      <c r="BE48" s="92" t="e">
        <v>#VALUE!</v>
      </c>
      <c r="BF48" s="92" t="e">
        <v>#VALUE!</v>
      </c>
      <c r="BG48" s="92" t="e">
        <v>#VALUE!</v>
      </c>
      <c r="BH48" s="92" t="e">
        <v>#VALUE!</v>
      </c>
      <c r="BI48" s="92" t="e">
        <v>#VALUE!</v>
      </c>
      <c r="BJ48" s="92" t="e">
        <v>#VALUE!</v>
      </c>
      <c r="BN48" s="107"/>
      <c r="BP48" s="107">
        <v>16</v>
      </c>
      <c r="BQ48" s="3" t="s">
        <v>190</v>
      </c>
      <c r="BW48" s="20"/>
      <c r="BX48" s="112"/>
      <c r="CB48" s="134" t="e">
        <f t="shared" si="4"/>
        <v>#VALUE!</v>
      </c>
      <c r="CC48" s="142" t="e">
        <f t="shared" si="5"/>
        <v>#VALUE!</v>
      </c>
      <c r="CD48" s="142" t="e">
        <f t="shared" si="6"/>
        <v>#VALUE!</v>
      </c>
    </row>
    <row r="49" ht="15" customHeight="1" spans="3:82">
      <c r="C49" s="71" t="e">
        <f>IF($C48&lt;&gt;"",IF($H48&gt;0,$C$36+13,""),"")</f>
        <v>#VALUE!</v>
      </c>
      <c r="D49" s="61" t="e">
        <f t="shared" si="8"/>
        <v>#VALUE!</v>
      </c>
      <c r="E49" s="67"/>
      <c r="F49" s="68" t="e">
        <f t="shared" si="9"/>
        <v>#VALUE!</v>
      </c>
      <c r="G49" s="69" t="e">
        <f t="shared" si="7"/>
        <v>#VALUE!</v>
      </c>
      <c r="H49" s="70" t="e">
        <f t="shared" si="2"/>
        <v>#VALUE!</v>
      </c>
      <c r="Y49" s="92" t="e">
        <f t="shared" si="3"/>
        <v>#VALUE!</v>
      </c>
      <c r="Z49" s="92" t="e">
        <v>#VALUE!</v>
      </c>
      <c r="AA49" s="92" t="e">
        <v>#VALUE!</v>
      </c>
      <c r="AB49" s="92" t="e">
        <v>#VALUE!</v>
      </c>
      <c r="AC49" s="92" t="e">
        <v>#VALUE!</v>
      </c>
      <c r="AD49" s="92" t="e">
        <v>#VALUE!</v>
      </c>
      <c r="AE49" s="92" t="e">
        <v>#VALUE!</v>
      </c>
      <c r="AF49" s="92" t="e">
        <f>IF($C49&lt;&gt;"",IF($C49-'[1]Ins(O)'!$C$56=0,'[1]Ins(O)'!$C$55,0),"")</f>
        <v>#VALUE!</v>
      </c>
      <c r="AG49" s="92" t="e">
        <f>IF($C49&lt;&gt;"",IF($C49-'[1]Ins(O)'!$D$56=0,'[1]Ins(O)'!$D$55,0),"")</f>
        <v>#VALUE!</v>
      </c>
      <c r="AH49" s="92" t="e">
        <f>IF($C49&lt;&gt;"",IF($C49-'[1]Ins(O)'!$E$56=0,'[1]Ins(O)'!$E$55,0),"")</f>
        <v>#VALUE!</v>
      </c>
      <c r="AI49" s="92" t="e">
        <f>IF($C49&lt;&gt;"",IF($C49-'[1]Ins(O)'!$F$56=0,'[1]Ins(O)'!$F$55,0),"")</f>
        <v>#VALUE!</v>
      </c>
      <c r="AJ49" s="92" t="e">
        <f>IF($C49&lt;&gt;"",IF($C49-'[1]Ins(O)'!$G$56=0,'[1]Ins(O)'!$G$55,0),"")</f>
        <v>#VALUE!</v>
      </c>
      <c r="AK49" s="92" t="e">
        <f>IF($C49&lt;&gt;"",IF($C49-'[1]Ins(O)'!$H$56=0,'[1]Ins(O)'!$H$55,0),"")</f>
        <v>#VALUE!</v>
      </c>
      <c r="AL49" s="92" t="e">
        <f>IF($C49&lt;&gt;"",IF($C49-'[1]Ins(O)'!$C$94=0,'[1]Ins(O)'!$C$93,0),"")</f>
        <v>#VALUE!</v>
      </c>
      <c r="AM49" s="92" t="e">
        <f>IF($C49&lt;&gt;"",IF($C49-'[1]Ins(O)'!$D$94=0,'[1]Ins(O)'!$D$93,0),"")</f>
        <v>#VALUE!</v>
      </c>
      <c r="AN49" s="92" t="e">
        <f>IF($C49&lt;&gt;"",IF($C49-'[1]Ins(O)'!$E$94=0,'[1]Ins(O)'!$E$93,0),"")</f>
        <v>#VALUE!</v>
      </c>
      <c r="AO49" s="92" t="e">
        <f>IF($C49&lt;&gt;"",IF($C49-'[1]Ins(O)'!$F$94=0,'[1]Ins(O)'!$F$93,0),"")</f>
        <v>#VALUE!</v>
      </c>
      <c r="AP49" s="92" t="e">
        <f>IF($C49&lt;&gt;"",IF($C49-'[1]Ins(O)'!$G$94=0,'[1]Ins(O)'!$G$93,0),"")</f>
        <v>#VALUE!</v>
      </c>
      <c r="AQ49" s="92" t="e">
        <f>IF($C49&lt;&gt;"",IF($C49-'[1]Ins(O)'!$H$94=0,'[1]Ins(O)'!$H$93,0),"")</f>
        <v>#VALUE!</v>
      </c>
      <c r="AS49" s="92" t="e">
        <v>#VALUE!</v>
      </c>
      <c r="AT49" s="92" t="e">
        <v>#VALUE!</v>
      </c>
      <c r="AU49" s="92" t="e">
        <v>#VALUE!</v>
      </c>
      <c r="AV49" s="92" t="e">
        <v>#VALUE!</v>
      </c>
      <c r="AW49" s="92" t="e">
        <v>#VALUE!</v>
      </c>
      <c r="AX49" s="92" t="e">
        <v>#VALUE!</v>
      </c>
      <c r="AY49" s="92" t="e">
        <v>#VALUE!</v>
      </c>
      <c r="AZ49" s="92" t="e">
        <v>#VALUE!</v>
      </c>
      <c r="BA49" s="92" t="e">
        <v>#VALUE!</v>
      </c>
      <c r="BB49" s="92" t="e">
        <v>#VALUE!</v>
      </c>
      <c r="BC49" s="92" t="e">
        <v>#VALUE!</v>
      </c>
      <c r="BD49" s="92" t="e">
        <v>#VALUE!</v>
      </c>
      <c r="BE49" s="92" t="e">
        <v>#VALUE!</v>
      </c>
      <c r="BF49" s="92" t="e">
        <v>#VALUE!</v>
      </c>
      <c r="BG49" s="92" t="e">
        <v>#VALUE!</v>
      </c>
      <c r="BH49" s="92" t="e">
        <v>#VALUE!</v>
      </c>
      <c r="BI49" s="92" t="e">
        <v>#VALUE!</v>
      </c>
      <c r="BJ49" s="92" t="e">
        <v>#VALUE!</v>
      </c>
      <c r="BN49" s="107"/>
      <c r="BP49" s="107">
        <v>17</v>
      </c>
      <c r="BQ49" s="3" t="s">
        <v>191</v>
      </c>
      <c r="BU49" s="138">
        <f>IF($BU$9&gt;55,(($BU$28*((1+$BT$28)^($BU$9-$BU$7)))+($BU$27*((1+$BT$27)^($BU$9-$BU$7)))+($BU$26*((1+$BT$26)^($BU$9-$BU$7)))+($BU$29*((((1+($BT$29/12)))^((12*($BU$9-$BU$7)))-1)/($BT$29/12)))+($BU$31*(((((1+$BT$31)^($BU$9-$BU$7)))-1)/$BT$31))+(BU24*((1+BT24)^($BU$9-$BU$7)))+($BU$25*(((((1+$BT$25)^($BU$9-$BU$7)))-1)/$BT$25))),0)</f>
        <v>1402551.7307</v>
      </c>
      <c r="BV49" s="126"/>
      <c r="BW49" s="5"/>
      <c r="BX49" s="112"/>
      <c r="CB49" s="134" t="e">
        <f t="shared" si="4"/>
        <v>#VALUE!</v>
      </c>
      <c r="CC49" s="142" t="e">
        <f t="shared" si="5"/>
        <v>#VALUE!</v>
      </c>
      <c r="CD49" s="142" t="e">
        <f t="shared" si="6"/>
        <v>#VALUE!</v>
      </c>
    </row>
    <row r="50" ht="15" customHeight="1" spans="3:82">
      <c r="C50" s="71" t="e">
        <f>IF($C49&lt;&gt;"",IF($H49&gt;0,$C$36+14,""),"")</f>
        <v>#VALUE!</v>
      </c>
      <c r="D50" s="61" t="e">
        <f t="shared" si="8"/>
        <v>#VALUE!</v>
      </c>
      <c r="E50" s="67"/>
      <c r="F50" s="68" t="e">
        <f t="shared" si="9"/>
        <v>#VALUE!</v>
      </c>
      <c r="G50" s="69" t="e">
        <f t="shared" si="7"/>
        <v>#VALUE!</v>
      </c>
      <c r="H50" s="70" t="e">
        <f t="shared" si="2"/>
        <v>#VALUE!</v>
      </c>
      <c r="Y50" s="92" t="e">
        <f t="shared" si="3"/>
        <v>#VALUE!</v>
      </c>
      <c r="Z50" s="92" t="e">
        <v>#VALUE!</v>
      </c>
      <c r="AA50" s="92" t="e">
        <v>#VALUE!</v>
      </c>
      <c r="AB50" s="92" t="e">
        <v>#VALUE!</v>
      </c>
      <c r="AC50" s="92" t="e">
        <v>#VALUE!</v>
      </c>
      <c r="AD50" s="92" t="e">
        <v>#VALUE!</v>
      </c>
      <c r="AE50" s="92" t="e">
        <v>#VALUE!</v>
      </c>
      <c r="AF50" s="92" t="e">
        <f>IF($C50&lt;&gt;"",IF($C50-'[1]Ins(O)'!$C$56=0,'[1]Ins(O)'!$C$55,0),"")</f>
        <v>#VALUE!</v>
      </c>
      <c r="AG50" s="92" t="e">
        <f>IF($C50&lt;&gt;"",IF($C50-'[1]Ins(O)'!$D$56=0,'[1]Ins(O)'!$D$55,0),"")</f>
        <v>#VALUE!</v>
      </c>
      <c r="AH50" s="92" t="e">
        <f>IF($C50&lt;&gt;"",IF($C50-'[1]Ins(O)'!$E$56=0,'[1]Ins(O)'!$E$55,0),"")</f>
        <v>#VALUE!</v>
      </c>
      <c r="AI50" s="92" t="e">
        <f>IF($C50&lt;&gt;"",IF($C50-'[1]Ins(O)'!$F$56=0,'[1]Ins(O)'!$F$55,0),"")</f>
        <v>#VALUE!</v>
      </c>
      <c r="AJ50" s="92" t="e">
        <f>IF($C50&lt;&gt;"",IF($C50-'[1]Ins(O)'!$G$56=0,'[1]Ins(O)'!$G$55,0),"")</f>
        <v>#VALUE!</v>
      </c>
      <c r="AK50" s="92" t="e">
        <f>IF($C50&lt;&gt;"",IF($C50-'[1]Ins(O)'!$H$56=0,'[1]Ins(O)'!$H$55,0),"")</f>
        <v>#VALUE!</v>
      </c>
      <c r="AL50" s="92" t="e">
        <f>IF($C50&lt;&gt;"",IF($C50-'[1]Ins(O)'!$C$94=0,'[1]Ins(O)'!$C$93,0),"")</f>
        <v>#VALUE!</v>
      </c>
      <c r="AM50" s="92" t="e">
        <f>IF($C50&lt;&gt;"",IF($C50-'[1]Ins(O)'!$D$94=0,'[1]Ins(O)'!$D$93,0),"")</f>
        <v>#VALUE!</v>
      </c>
      <c r="AN50" s="92" t="e">
        <f>IF($C50&lt;&gt;"",IF($C50-'[1]Ins(O)'!$E$94=0,'[1]Ins(O)'!$E$93,0),"")</f>
        <v>#VALUE!</v>
      </c>
      <c r="AO50" s="92" t="e">
        <f>IF($C50&lt;&gt;"",IF($C50-'[1]Ins(O)'!$F$94=0,'[1]Ins(O)'!$F$93,0),"")</f>
        <v>#VALUE!</v>
      </c>
      <c r="AP50" s="92" t="e">
        <f>IF($C50&lt;&gt;"",IF($C50-'[1]Ins(O)'!$G$94=0,'[1]Ins(O)'!$G$93,0),"")</f>
        <v>#VALUE!</v>
      </c>
      <c r="AQ50" s="92" t="e">
        <f>IF($C50&lt;&gt;"",IF($C50-'[1]Ins(O)'!$H$94=0,'[1]Ins(O)'!$H$93,0),"")</f>
        <v>#VALUE!</v>
      </c>
      <c r="AS50" s="92" t="e">
        <v>#VALUE!</v>
      </c>
      <c r="AT50" s="92" t="e">
        <v>#VALUE!</v>
      </c>
      <c r="AU50" s="92" t="e">
        <v>#VALUE!</v>
      </c>
      <c r="AV50" s="92" t="e">
        <v>#VALUE!</v>
      </c>
      <c r="AW50" s="92" t="e">
        <v>#VALUE!</v>
      </c>
      <c r="AX50" s="92" t="e">
        <v>#VALUE!</v>
      </c>
      <c r="AY50" s="92" t="e">
        <v>#VALUE!</v>
      </c>
      <c r="AZ50" s="92" t="e">
        <v>#VALUE!</v>
      </c>
      <c r="BA50" s="92" t="e">
        <v>#VALUE!</v>
      </c>
      <c r="BB50" s="92" t="e">
        <v>#VALUE!</v>
      </c>
      <c r="BC50" s="92" t="e">
        <v>#VALUE!</v>
      </c>
      <c r="BD50" s="92" t="e">
        <v>#VALUE!</v>
      </c>
      <c r="BE50" s="92" t="e">
        <v>#VALUE!</v>
      </c>
      <c r="BF50" s="92" t="e">
        <v>#VALUE!</v>
      </c>
      <c r="BG50" s="92" t="e">
        <v>#VALUE!</v>
      </c>
      <c r="BH50" s="92" t="e">
        <v>#VALUE!</v>
      </c>
      <c r="BI50" s="92" t="e">
        <v>#VALUE!</v>
      </c>
      <c r="BJ50" s="92" t="e">
        <v>#VALUE!</v>
      </c>
      <c r="BN50" s="107"/>
      <c r="BP50" s="107">
        <v>18</v>
      </c>
      <c r="BU50" s="136"/>
      <c r="BV50" s="126"/>
      <c r="BW50" s="5"/>
      <c r="BX50" s="112"/>
      <c r="CB50" s="134" t="e">
        <f t="shared" si="4"/>
        <v>#VALUE!</v>
      </c>
      <c r="CC50" s="142" t="e">
        <f t="shared" si="5"/>
        <v>#VALUE!</v>
      </c>
      <c r="CD50" s="142" t="e">
        <f t="shared" si="6"/>
        <v>#VALUE!</v>
      </c>
    </row>
    <row r="51" ht="15" customHeight="1" spans="3:82">
      <c r="C51" s="71" t="e">
        <f>IF($C50&lt;&gt;"",IF($H50&gt;0,$C$36+15,""),"")</f>
        <v>#VALUE!</v>
      </c>
      <c r="D51" s="61" t="e">
        <f t="shared" si="8"/>
        <v>#VALUE!</v>
      </c>
      <c r="E51" s="67"/>
      <c r="F51" s="68" t="e">
        <f t="shared" si="9"/>
        <v>#VALUE!</v>
      </c>
      <c r="G51" s="69" t="e">
        <f t="shared" si="7"/>
        <v>#VALUE!</v>
      </c>
      <c r="H51" s="70" t="e">
        <f t="shared" si="2"/>
        <v>#VALUE!</v>
      </c>
      <c r="Y51" s="92" t="e">
        <f t="shared" si="3"/>
        <v>#VALUE!</v>
      </c>
      <c r="Z51" s="92" t="e">
        <v>#VALUE!</v>
      </c>
      <c r="AA51" s="92" t="e">
        <v>#VALUE!</v>
      </c>
      <c r="AB51" s="92" t="e">
        <v>#VALUE!</v>
      </c>
      <c r="AC51" s="92" t="e">
        <v>#VALUE!</v>
      </c>
      <c r="AD51" s="92" t="e">
        <v>#VALUE!</v>
      </c>
      <c r="AE51" s="92" t="e">
        <v>#VALUE!</v>
      </c>
      <c r="AF51" s="92" t="e">
        <f>IF($C51&lt;&gt;"",IF($C51-'[1]Ins(O)'!$C$56=0,'[1]Ins(O)'!$C$55,0),"")</f>
        <v>#VALUE!</v>
      </c>
      <c r="AG51" s="92" t="e">
        <f>IF($C51&lt;&gt;"",IF($C51-'[1]Ins(O)'!$D$56=0,'[1]Ins(O)'!$D$55,0),"")</f>
        <v>#VALUE!</v>
      </c>
      <c r="AH51" s="92" t="e">
        <f>IF($C51&lt;&gt;"",IF($C51-'[1]Ins(O)'!$E$56=0,'[1]Ins(O)'!$E$55,0),"")</f>
        <v>#VALUE!</v>
      </c>
      <c r="AI51" s="92" t="e">
        <f>IF($C51&lt;&gt;"",IF($C51-'[1]Ins(O)'!$F$56=0,'[1]Ins(O)'!$F$55,0),"")</f>
        <v>#VALUE!</v>
      </c>
      <c r="AJ51" s="92" t="e">
        <f>IF($C51&lt;&gt;"",IF($C51-'[1]Ins(O)'!$G$56=0,'[1]Ins(O)'!$G$55,0),"")</f>
        <v>#VALUE!</v>
      </c>
      <c r="AK51" s="92" t="e">
        <f>IF($C51&lt;&gt;"",IF($C51-'[1]Ins(O)'!$H$56=0,'[1]Ins(O)'!$H$55,0),"")</f>
        <v>#VALUE!</v>
      </c>
      <c r="AL51" s="92" t="e">
        <f>IF($C51&lt;&gt;"",IF($C51-'[1]Ins(O)'!$C$94=0,'[1]Ins(O)'!$C$93,0),"")</f>
        <v>#VALUE!</v>
      </c>
      <c r="AM51" s="92" t="e">
        <f>IF($C51&lt;&gt;"",IF($C51-'[1]Ins(O)'!$D$94=0,'[1]Ins(O)'!$D$93,0),"")</f>
        <v>#VALUE!</v>
      </c>
      <c r="AN51" s="92" t="e">
        <f>IF($C51&lt;&gt;"",IF($C51-'[1]Ins(O)'!$E$94=0,'[1]Ins(O)'!$E$93,0),"")</f>
        <v>#VALUE!</v>
      </c>
      <c r="AO51" s="92" t="e">
        <f>IF($C51&lt;&gt;"",IF($C51-'[1]Ins(O)'!$F$94=0,'[1]Ins(O)'!$F$93,0),"")</f>
        <v>#VALUE!</v>
      </c>
      <c r="AP51" s="92" t="e">
        <f>IF($C51&lt;&gt;"",IF($C51-'[1]Ins(O)'!$G$94=0,'[1]Ins(O)'!$G$93,0),"")</f>
        <v>#VALUE!</v>
      </c>
      <c r="AQ51" s="92" t="e">
        <f>IF($C51&lt;&gt;"",IF($C51-'[1]Ins(O)'!$H$94=0,'[1]Ins(O)'!$H$93,0),"")</f>
        <v>#VALUE!</v>
      </c>
      <c r="AS51" s="92" t="e">
        <v>#VALUE!</v>
      </c>
      <c r="AT51" s="92" t="e">
        <v>#VALUE!</v>
      </c>
      <c r="AU51" s="92" t="e">
        <v>#VALUE!</v>
      </c>
      <c r="AV51" s="92" t="e">
        <v>#VALUE!</v>
      </c>
      <c r="AW51" s="92" t="e">
        <v>#VALUE!</v>
      </c>
      <c r="AX51" s="92" t="e">
        <v>#VALUE!</v>
      </c>
      <c r="AY51" s="92" t="e">
        <v>#VALUE!</v>
      </c>
      <c r="AZ51" s="92" t="e">
        <v>#VALUE!</v>
      </c>
      <c r="BA51" s="92" t="e">
        <v>#VALUE!</v>
      </c>
      <c r="BB51" s="92" t="e">
        <v>#VALUE!</v>
      </c>
      <c r="BC51" s="92" t="e">
        <v>#VALUE!</v>
      </c>
      <c r="BD51" s="92" t="e">
        <v>#VALUE!</v>
      </c>
      <c r="BE51" s="92" t="e">
        <v>#VALUE!</v>
      </c>
      <c r="BF51" s="92" t="e">
        <v>#VALUE!</v>
      </c>
      <c r="BG51" s="92" t="e">
        <v>#VALUE!</v>
      </c>
      <c r="BH51" s="92" t="e">
        <v>#VALUE!</v>
      </c>
      <c r="BI51" s="92" t="e">
        <v>#VALUE!</v>
      </c>
      <c r="BJ51" s="92" t="e">
        <v>#VALUE!</v>
      </c>
      <c r="BN51" s="107"/>
      <c r="BP51" s="107">
        <v>19</v>
      </c>
      <c r="BQ51" s="3" t="s">
        <v>192</v>
      </c>
      <c r="BS51" s="36"/>
      <c r="BU51" s="139">
        <f>IF(BU9&lt;55,(BU49+BU46+BU43),(BU40+BU43+BU46+BU49))</f>
        <v>1402551.7307</v>
      </c>
      <c r="BV51" s="126"/>
      <c r="CB51" s="134" t="e">
        <f t="shared" si="4"/>
        <v>#VALUE!</v>
      </c>
      <c r="CC51" s="142" t="e">
        <f t="shared" si="5"/>
        <v>#VALUE!</v>
      </c>
      <c r="CD51" s="142" t="e">
        <f t="shared" si="6"/>
        <v>#VALUE!</v>
      </c>
    </row>
    <row r="52" ht="15" customHeight="1" spans="3:82">
      <c r="C52" s="71" t="e">
        <f>IF($C51&lt;&gt;"",IF($H51&gt;0,$C$36+16,""),"")</f>
        <v>#VALUE!</v>
      </c>
      <c r="D52" s="61" t="e">
        <f t="shared" si="8"/>
        <v>#VALUE!</v>
      </c>
      <c r="E52" s="67"/>
      <c r="F52" s="68" t="e">
        <f t="shared" si="9"/>
        <v>#VALUE!</v>
      </c>
      <c r="G52" s="69" t="e">
        <f t="shared" si="7"/>
        <v>#VALUE!</v>
      </c>
      <c r="H52" s="70" t="e">
        <f t="shared" si="2"/>
        <v>#VALUE!</v>
      </c>
      <c r="Y52" s="92" t="e">
        <f t="shared" si="3"/>
        <v>#VALUE!</v>
      </c>
      <c r="Z52" s="92" t="e">
        <v>#VALUE!</v>
      </c>
      <c r="AA52" s="92" t="e">
        <v>#VALUE!</v>
      </c>
      <c r="AB52" s="92" t="e">
        <v>#VALUE!</v>
      </c>
      <c r="AC52" s="92" t="e">
        <v>#VALUE!</v>
      </c>
      <c r="AD52" s="92" t="e">
        <v>#VALUE!</v>
      </c>
      <c r="AE52" s="92" t="e">
        <v>#VALUE!</v>
      </c>
      <c r="AF52" s="92" t="e">
        <f>IF($C52&lt;&gt;"",IF($C52-'[1]Ins(O)'!$C$56=0,'[1]Ins(O)'!$C$55,0),"")</f>
        <v>#VALUE!</v>
      </c>
      <c r="AG52" s="92" t="e">
        <f>IF($C52&lt;&gt;"",IF($C52-'[1]Ins(O)'!$D$56=0,'[1]Ins(O)'!$D$55,0),"")</f>
        <v>#VALUE!</v>
      </c>
      <c r="AH52" s="92" t="e">
        <f>IF($C52&lt;&gt;"",IF($C52-'[1]Ins(O)'!$E$56=0,'[1]Ins(O)'!$E$55,0),"")</f>
        <v>#VALUE!</v>
      </c>
      <c r="AI52" s="92" t="e">
        <f>IF($C52&lt;&gt;"",IF($C52-'[1]Ins(O)'!$F$56=0,'[1]Ins(O)'!$F$55,0),"")</f>
        <v>#VALUE!</v>
      </c>
      <c r="AJ52" s="92" t="e">
        <f>IF($C52&lt;&gt;"",IF($C52-'[1]Ins(O)'!$G$56=0,'[1]Ins(O)'!$G$55,0),"")</f>
        <v>#VALUE!</v>
      </c>
      <c r="AK52" s="92" t="e">
        <f>IF($C52&lt;&gt;"",IF($C52-'[1]Ins(O)'!$H$56=0,'[1]Ins(O)'!$H$55,0),"")</f>
        <v>#VALUE!</v>
      </c>
      <c r="AL52" s="92" t="e">
        <f>IF($C52&lt;&gt;"",IF($C52-'[1]Ins(O)'!$C$94=0,'[1]Ins(O)'!$C$93,0),"")</f>
        <v>#VALUE!</v>
      </c>
      <c r="AM52" s="92" t="e">
        <f>IF($C52&lt;&gt;"",IF($C52-'[1]Ins(O)'!$D$94=0,'[1]Ins(O)'!$D$93,0),"")</f>
        <v>#VALUE!</v>
      </c>
      <c r="AN52" s="92" t="e">
        <f>IF($C52&lt;&gt;"",IF($C52-'[1]Ins(O)'!$E$94=0,'[1]Ins(O)'!$E$93,0),"")</f>
        <v>#VALUE!</v>
      </c>
      <c r="AO52" s="92" t="e">
        <f>IF($C52&lt;&gt;"",IF($C52-'[1]Ins(O)'!$F$94=0,'[1]Ins(O)'!$F$93,0),"")</f>
        <v>#VALUE!</v>
      </c>
      <c r="AP52" s="92" t="e">
        <f>IF($C52&lt;&gt;"",IF($C52-'[1]Ins(O)'!$G$94=0,'[1]Ins(O)'!$G$93,0),"")</f>
        <v>#VALUE!</v>
      </c>
      <c r="AQ52" s="92" t="e">
        <f>IF($C52&lt;&gt;"",IF($C52-'[1]Ins(O)'!$H$94=0,'[1]Ins(O)'!$H$93,0),"")</f>
        <v>#VALUE!</v>
      </c>
      <c r="AS52" s="92" t="e">
        <v>#VALUE!</v>
      </c>
      <c r="AT52" s="92" t="e">
        <v>#VALUE!</v>
      </c>
      <c r="AU52" s="92" t="e">
        <v>#VALUE!</v>
      </c>
      <c r="AV52" s="92" t="e">
        <v>#VALUE!</v>
      </c>
      <c r="AW52" s="92" t="e">
        <v>#VALUE!</v>
      </c>
      <c r="AX52" s="92" t="e">
        <v>#VALUE!</v>
      </c>
      <c r="AY52" s="92" t="e">
        <v>#VALUE!</v>
      </c>
      <c r="AZ52" s="92" t="e">
        <v>#VALUE!</v>
      </c>
      <c r="BA52" s="92" t="e">
        <v>#VALUE!</v>
      </c>
      <c r="BB52" s="92" t="e">
        <v>#VALUE!</v>
      </c>
      <c r="BC52" s="92" t="e">
        <v>#VALUE!</v>
      </c>
      <c r="BD52" s="92" t="e">
        <v>#VALUE!</v>
      </c>
      <c r="BE52" s="92" t="e">
        <v>#VALUE!</v>
      </c>
      <c r="BF52" s="92" t="e">
        <v>#VALUE!</v>
      </c>
      <c r="BG52" s="92" t="e">
        <v>#VALUE!</v>
      </c>
      <c r="BH52" s="92" t="e">
        <v>#VALUE!</v>
      </c>
      <c r="BI52" s="92" t="e">
        <v>#VALUE!</v>
      </c>
      <c r="BJ52" s="92" t="e">
        <v>#VALUE!</v>
      </c>
      <c r="BN52" s="107"/>
      <c r="BP52" s="107">
        <v>20</v>
      </c>
      <c r="BS52" s="36"/>
      <c r="BU52" s="126"/>
      <c r="BV52" s="126"/>
      <c r="CB52" s="134" t="e">
        <f t="shared" si="4"/>
        <v>#VALUE!</v>
      </c>
      <c r="CC52" s="142" t="e">
        <f t="shared" si="5"/>
        <v>#VALUE!</v>
      </c>
      <c r="CD52" s="142" t="e">
        <f t="shared" si="6"/>
        <v>#VALUE!</v>
      </c>
    </row>
    <row r="53" ht="15" customHeight="1" spans="3:82">
      <c r="C53" s="72" t="e">
        <f>IF($C52&lt;&gt;"",IF($H52&gt;0,$C$36+17,""),"")</f>
        <v>#VALUE!</v>
      </c>
      <c r="D53" s="61" t="e">
        <f t="shared" si="8"/>
        <v>#VALUE!</v>
      </c>
      <c r="E53" s="67"/>
      <c r="F53" s="68" t="e">
        <f t="shared" si="9"/>
        <v>#VALUE!</v>
      </c>
      <c r="G53" s="73" t="e">
        <f t="shared" si="7"/>
        <v>#VALUE!</v>
      </c>
      <c r="H53" s="70" t="e">
        <f t="shared" si="2"/>
        <v>#VALUE!</v>
      </c>
      <c r="Y53" s="92" t="e">
        <f t="shared" si="3"/>
        <v>#VALUE!</v>
      </c>
      <c r="Z53" s="92" t="e">
        <v>#VALUE!</v>
      </c>
      <c r="AA53" s="92" t="e">
        <v>#VALUE!</v>
      </c>
      <c r="AB53" s="92" t="e">
        <v>#VALUE!</v>
      </c>
      <c r="AC53" s="92" t="e">
        <v>#VALUE!</v>
      </c>
      <c r="AD53" s="92" t="e">
        <v>#VALUE!</v>
      </c>
      <c r="AE53" s="92" t="e">
        <v>#VALUE!</v>
      </c>
      <c r="AF53" s="92" t="e">
        <f>IF($C53&lt;&gt;"",IF($C53-'[1]Ins(O)'!$C$56=0,'[1]Ins(O)'!$C$55,0),"")</f>
        <v>#VALUE!</v>
      </c>
      <c r="AG53" s="92" t="e">
        <f>IF($C53&lt;&gt;"",IF($C53-'[1]Ins(O)'!$D$56=0,'[1]Ins(O)'!$D$55,0),"")</f>
        <v>#VALUE!</v>
      </c>
      <c r="AH53" s="92" t="e">
        <f>IF($C53&lt;&gt;"",IF($C53-'[1]Ins(O)'!$E$56=0,'[1]Ins(O)'!$E$55,0),"")</f>
        <v>#VALUE!</v>
      </c>
      <c r="AI53" s="92" t="e">
        <f>IF($C53&lt;&gt;"",IF($C53-'[1]Ins(O)'!$F$56=0,'[1]Ins(O)'!$F$55,0),"")</f>
        <v>#VALUE!</v>
      </c>
      <c r="AJ53" s="92" t="e">
        <f>IF($C53&lt;&gt;"",IF($C53-'[1]Ins(O)'!$G$56=0,'[1]Ins(O)'!$G$55,0),"")</f>
        <v>#VALUE!</v>
      </c>
      <c r="AK53" s="92" t="e">
        <f>IF($C53&lt;&gt;"",IF($C53-'[1]Ins(O)'!$H$56=0,'[1]Ins(O)'!$H$55,0),"")</f>
        <v>#VALUE!</v>
      </c>
      <c r="AL53" s="92" t="e">
        <f>IF($C53&lt;&gt;"",IF($C53-'[1]Ins(O)'!$C$94=0,'[1]Ins(O)'!$C$93,0),"")</f>
        <v>#VALUE!</v>
      </c>
      <c r="AM53" s="92" t="e">
        <f>IF($C53&lt;&gt;"",IF($C53-'[1]Ins(O)'!$D$94=0,'[1]Ins(O)'!$D$93,0),"")</f>
        <v>#VALUE!</v>
      </c>
      <c r="AN53" s="92" t="e">
        <f>IF($C53&lt;&gt;"",IF($C53-'[1]Ins(O)'!$E$94=0,'[1]Ins(O)'!$E$93,0),"")</f>
        <v>#VALUE!</v>
      </c>
      <c r="AO53" s="92" t="e">
        <f>IF($C53&lt;&gt;"",IF($C53-'[1]Ins(O)'!$F$94=0,'[1]Ins(O)'!$F$93,0),"")</f>
        <v>#VALUE!</v>
      </c>
      <c r="AP53" s="92" t="e">
        <f>IF($C53&lt;&gt;"",IF($C53-'[1]Ins(O)'!$G$94=0,'[1]Ins(O)'!$G$93,0),"")</f>
        <v>#VALUE!</v>
      </c>
      <c r="AQ53" s="92" t="e">
        <f>IF($C53&lt;&gt;"",IF($C53-'[1]Ins(O)'!$H$94=0,'[1]Ins(O)'!$H$93,0),"")</f>
        <v>#VALUE!</v>
      </c>
      <c r="AS53" s="92" t="e">
        <v>#VALUE!</v>
      </c>
      <c r="AT53" s="92" t="e">
        <v>#VALUE!</v>
      </c>
      <c r="AU53" s="92" t="e">
        <v>#VALUE!</v>
      </c>
      <c r="AV53" s="92" t="e">
        <v>#VALUE!</v>
      </c>
      <c r="AW53" s="92" t="e">
        <v>#VALUE!</v>
      </c>
      <c r="AX53" s="92" t="e">
        <v>#VALUE!</v>
      </c>
      <c r="AY53" s="92" t="e">
        <v>#VALUE!</v>
      </c>
      <c r="AZ53" s="92" t="e">
        <v>#VALUE!</v>
      </c>
      <c r="BA53" s="92" t="e">
        <v>#VALUE!</v>
      </c>
      <c r="BB53" s="92" t="e">
        <v>#VALUE!</v>
      </c>
      <c r="BC53" s="92" t="e">
        <v>#VALUE!</v>
      </c>
      <c r="BD53" s="92" t="e">
        <v>#VALUE!</v>
      </c>
      <c r="BE53" s="92" t="e">
        <v>#VALUE!</v>
      </c>
      <c r="BF53" s="92" t="e">
        <v>#VALUE!</v>
      </c>
      <c r="BG53" s="92" t="e">
        <v>#VALUE!</v>
      </c>
      <c r="BH53" s="92" t="e">
        <v>#VALUE!</v>
      </c>
      <c r="BI53" s="92" t="e">
        <v>#VALUE!</v>
      </c>
      <c r="BJ53" s="92" t="e">
        <v>#VALUE!</v>
      </c>
      <c r="BN53" s="107"/>
      <c r="BP53" s="107">
        <v>21</v>
      </c>
      <c r="BQ53" s="110" t="s">
        <v>193</v>
      </c>
      <c r="BU53" s="37"/>
      <c r="BW53" s="5"/>
      <c r="BX53" s="112"/>
      <c r="CB53" s="134" t="e">
        <f t="shared" si="4"/>
        <v>#VALUE!</v>
      </c>
      <c r="CC53" s="142" t="e">
        <f t="shared" si="5"/>
        <v>#VALUE!</v>
      </c>
      <c r="CD53" s="142" t="e">
        <f t="shared" si="6"/>
        <v>#VALUE!</v>
      </c>
    </row>
    <row r="54" ht="15" customHeight="1" spans="3:82">
      <c r="C54" s="71" t="e">
        <f>IF($C53&lt;&gt;"",IF($H53&gt;0,$C$36+18,""),"")</f>
        <v>#VALUE!</v>
      </c>
      <c r="D54" s="61" t="e">
        <f t="shared" si="8"/>
        <v>#VALUE!</v>
      </c>
      <c r="E54" s="67"/>
      <c r="F54" s="68" t="e">
        <f t="shared" si="9"/>
        <v>#VALUE!</v>
      </c>
      <c r="G54" s="69" t="e">
        <f t="shared" si="7"/>
        <v>#VALUE!</v>
      </c>
      <c r="H54" s="70" t="e">
        <f t="shared" si="2"/>
        <v>#VALUE!</v>
      </c>
      <c r="Y54" s="92" t="e">
        <f t="shared" si="3"/>
        <v>#VALUE!</v>
      </c>
      <c r="Z54" s="92" t="e">
        <v>#VALUE!</v>
      </c>
      <c r="AA54" s="92" t="e">
        <v>#VALUE!</v>
      </c>
      <c r="AB54" s="92" t="e">
        <v>#VALUE!</v>
      </c>
      <c r="AC54" s="92" t="e">
        <v>#VALUE!</v>
      </c>
      <c r="AD54" s="92" t="e">
        <v>#VALUE!</v>
      </c>
      <c r="AE54" s="92" t="e">
        <v>#VALUE!</v>
      </c>
      <c r="AF54" s="92" t="e">
        <f>IF($C54&lt;&gt;"",IF($C54-'[1]Ins(O)'!$C$56=0,'[1]Ins(O)'!$C$55,0),"")</f>
        <v>#VALUE!</v>
      </c>
      <c r="AG54" s="92" t="e">
        <f>IF($C54&lt;&gt;"",IF($C54-'[1]Ins(O)'!$D$56=0,'[1]Ins(O)'!$D$55,0),"")</f>
        <v>#VALUE!</v>
      </c>
      <c r="AH54" s="92" t="e">
        <f>IF($C54&lt;&gt;"",IF($C54-'[1]Ins(O)'!$E$56=0,'[1]Ins(O)'!$E$55,0),"")</f>
        <v>#VALUE!</v>
      </c>
      <c r="AI54" s="92" t="e">
        <f>IF($C54&lt;&gt;"",IF($C54-'[1]Ins(O)'!$F$56=0,'[1]Ins(O)'!$F$55,0),"")</f>
        <v>#VALUE!</v>
      </c>
      <c r="AJ54" s="92" t="e">
        <f>IF($C54&lt;&gt;"",IF($C54-'[1]Ins(O)'!$G$56=0,'[1]Ins(O)'!$G$55,0),"")</f>
        <v>#VALUE!</v>
      </c>
      <c r="AK54" s="92" t="e">
        <f>IF($C54&lt;&gt;"",IF($C54-'[1]Ins(O)'!$H$56=0,'[1]Ins(O)'!$H$55,0),"")</f>
        <v>#VALUE!</v>
      </c>
      <c r="AL54" s="92" t="e">
        <f>IF($C54&lt;&gt;"",IF($C54-'[1]Ins(O)'!$C$94=0,'[1]Ins(O)'!$C$93,0),"")</f>
        <v>#VALUE!</v>
      </c>
      <c r="AM54" s="92" t="e">
        <f>IF($C54&lt;&gt;"",IF($C54-'[1]Ins(O)'!$D$94=0,'[1]Ins(O)'!$D$93,0),"")</f>
        <v>#VALUE!</v>
      </c>
      <c r="AN54" s="92" t="e">
        <f>IF($C54&lt;&gt;"",IF($C54-'[1]Ins(O)'!$E$94=0,'[1]Ins(O)'!$E$93,0),"")</f>
        <v>#VALUE!</v>
      </c>
      <c r="AO54" s="92" t="e">
        <f>IF($C54&lt;&gt;"",IF($C54-'[1]Ins(O)'!$F$94=0,'[1]Ins(O)'!$F$93,0),"")</f>
        <v>#VALUE!</v>
      </c>
      <c r="AP54" s="92" t="e">
        <f>IF($C54&lt;&gt;"",IF($C54-'[1]Ins(O)'!$G$94=0,'[1]Ins(O)'!$G$93,0),"")</f>
        <v>#VALUE!</v>
      </c>
      <c r="AQ54" s="92" t="e">
        <f>IF($C54&lt;&gt;"",IF($C54-'[1]Ins(O)'!$H$94=0,'[1]Ins(O)'!$H$93,0),"")</f>
        <v>#VALUE!</v>
      </c>
      <c r="AS54" s="92" t="e">
        <v>#VALUE!</v>
      </c>
      <c r="AT54" s="92" t="e">
        <v>#VALUE!</v>
      </c>
      <c r="AU54" s="92" t="e">
        <v>#VALUE!</v>
      </c>
      <c r="AV54" s="92" t="e">
        <v>#VALUE!</v>
      </c>
      <c r="AW54" s="92" t="e">
        <v>#VALUE!</v>
      </c>
      <c r="AX54" s="92" t="e">
        <v>#VALUE!</v>
      </c>
      <c r="AY54" s="92" t="e">
        <v>#VALUE!</v>
      </c>
      <c r="AZ54" s="92" t="e">
        <v>#VALUE!</v>
      </c>
      <c r="BA54" s="92" t="e">
        <v>#VALUE!</v>
      </c>
      <c r="BB54" s="92" t="e">
        <v>#VALUE!</v>
      </c>
      <c r="BC54" s="92" t="e">
        <v>#VALUE!</v>
      </c>
      <c r="BD54" s="92" t="e">
        <v>#VALUE!</v>
      </c>
      <c r="BE54" s="92" t="e">
        <v>#VALUE!</v>
      </c>
      <c r="BF54" s="92" t="e">
        <v>#VALUE!</v>
      </c>
      <c r="BG54" s="92" t="e">
        <v>#VALUE!</v>
      </c>
      <c r="BH54" s="92" t="e">
        <v>#VALUE!</v>
      </c>
      <c r="BI54" s="92" t="e">
        <v>#VALUE!</v>
      </c>
      <c r="BJ54" s="92" t="e">
        <v>#VALUE!</v>
      </c>
      <c r="BN54" s="107"/>
      <c r="BP54" s="107">
        <v>22</v>
      </c>
      <c r="BU54" s="37"/>
      <c r="BW54" s="5"/>
      <c r="BX54" s="112"/>
      <c r="CB54" s="134" t="e">
        <f t="shared" si="4"/>
        <v>#VALUE!</v>
      </c>
      <c r="CC54" s="142" t="e">
        <f t="shared" si="5"/>
        <v>#VALUE!</v>
      </c>
      <c r="CD54" s="142" t="e">
        <f t="shared" si="6"/>
        <v>#VALUE!</v>
      </c>
    </row>
    <row r="55" ht="15" customHeight="1" spans="3:82">
      <c r="C55" s="71" t="e">
        <f>IF($C54&lt;&gt;"",IF($H54&gt;0,$C$36+19,""),"")</f>
        <v>#VALUE!</v>
      </c>
      <c r="D55" s="61" t="e">
        <f t="shared" si="8"/>
        <v>#VALUE!</v>
      </c>
      <c r="E55" s="67"/>
      <c r="F55" s="68" t="e">
        <f t="shared" si="9"/>
        <v>#VALUE!</v>
      </c>
      <c r="G55" s="69" t="e">
        <f t="shared" si="7"/>
        <v>#VALUE!</v>
      </c>
      <c r="H55" s="70" t="e">
        <f t="shared" si="2"/>
        <v>#VALUE!</v>
      </c>
      <c r="Y55" s="92" t="e">
        <f t="shared" si="3"/>
        <v>#VALUE!</v>
      </c>
      <c r="Z55" s="92" t="e">
        <v>#VALUE!</v>
      </c>
      <c r="AA55" s="92" t="e">
        <v>#VALUE!</v>
      </c>
      <c r="AB55" s="92" t="e">
        <v>#VALUE!</v>
      </c>
      <c r="AC55" s="92" t="e">
        <v>#VALUE!</v>
      </c>
      <c r="AD55" s="92" t="e">
        <v>#VALUE!</v>
      </c>
      <c r="AE55" s="92" t="e">
        <v>#VALUE!</v>
      </c>
      <c r="AF55" s="92" t="e">
        <f>IF($C55&lt;&gt;"",IF($C55-'[1]Ins(O)'!$C$56=0,'[1]Ins(O)'!$C$55,0),"")</f>
        <v>#VALUE!</v>
      </c>
      <c r="AG55" s="92" t="e">
        <f>IF($C55&lt;&gt;"",IF($C55-'[1]Ins(O)'!$D$56=0,'[1]Ins(O)'!$D$55,0),"")</f>
        <v>#VALUE!</v>
      </c>
      <c r="AH55" s="92" t="e">
        <f>IF($C55&lt;&gt;"",IF($C55-'[1]Ins(O)'!$E$56=0,'[1]Ins(O)'!$E$55,0),"")</f>
        <v>#VALUE!</v>
      </c>
      <c r="AI55" s="92" t="e">
        <f>IF($C55&lt;&gt;"",IF($C55-'[1]Ins(O)'!$F$56=0,'[1]Ins(O)'!$F$55,0),"")</f>
        <v>#VALUE!</v>
      </c>
      <c r="AJ55" s="92" t="e">
        <f>IF($C55&lt;&gt;"",IF($C55-'[1]Ins(O)'!$G$56=0,'[1]Ins(O)'!$G$55,0),"")</f>
        <v>#VALUE!</v>
      </c>
      <c r="AK55" s="92" t="e">
        <f>IF($C55&lt;&gt;"",IF($C55-'[1]Ins(O)'!$H$56=0,'[1]Ins(O)'!$H$55,0),"")</f>
        <v>#VALUE!</v>
      </c>
      <c r="AL55" s="92" t="e">
        <f>IF($C55&lt;&gt;"",IF($C55-'[1]Ins(O)'!$C$94=0,'[1]Ins(O)'!$C$93,0),"")</f>
        <v>#VALUE!</v>
      </c>
      <c r="AM55" s="92" t="e">
        <f>IF($C55&lt;&gt;"",IF($C55-'[1]Ins(O)'!$D$94=0,'[1]Ins(O)'!$D$93,0),"")</f>
        <v>#VALUE!</v>
      </c>
      <c r="AN55" s="92" t="e">
        <f>IF($C55&lt;&gt;"",IF($C55-'[1]Ins(O)'!$E$94=0,'[1]Ins(O)'!$E$93,0),"")</f>
        <v>#VALUE!</v>
      </c>
      <c r="AO55" s="92" t="e">
        <f>IF($C55&lt;&gt;"",IF($C55-'[1]Ins(O)'!$F$94=0,'[1]Ins(O)'!$F$93,0),"")</f>
        <v>#VALUE!</v>
      </c>
      <c r="AP55" s="92" t="e">
        <f>IF($C55&lt;&gt;"",IF($C55-'[1]Ins(O)'!$G$94=0,'[1]Ins(O)'!$G$93,0),"")</f>
        <v>#VALUE!</v>
      </c>
      <c r="AQ55" s="92" t="e">
        <f>IF($C55&lt;&gt;"",IF($C55-'[1]Ins(O)'!$H$94=0,'[1]Ins(O)'!$H$93,0),"")</f>
        <v>#VALUE!</v>
      </c>
      <c r="AS55" s="92" t="e">
        <v>#VALUE!</v>
      </c>
      <c r="AT55" s="92" t="e">
        <v>#VALUE!</v>
      </c>
      <c r="AU55" s="92" t="e">
        <v>#VALUE!</v>
      </c>
      <c r="AV55" s="92" t="e">
        <v>#VALUE!</v>
      </c>
      <c r="AW55" s="92" t="e">
        <v>#VALUE!</v>
      </c>
      <c r="AX55" s="92" t="e">
        <v>#VALUE!</v>
      </c>
      <c r="AY55" s="92" t="e">
        <v>#VALUE!</v>
      </c>
      <c r="AZ55" s="92" t="e">
        <v>#VALUE!</v>
      </c>
      <c r="BA55" s="92" t="e">
        <v>#VALUE!</v>
      </c>
      <c r="BB55" s="92" t="e">
        <v>#VALUE!</v>
      </c>
      <c r="BC55" s="92" t="e">
        <v>#VALUE!</v>
      </c>
      <c r="BD55" s="92" t="e">
        <v>#VALUE!</v>
      </c>
      <c r="BE55" s="92" t="e">
        <v>#VALUE!</v>
      </c>
      <c r="BF55" s="92" t="e">
        <v>#VALUE!</v>
      </c>
      <c r="BG55" s="92" t="e">
        <v>#VALUE!</v>
      </c>
      <c r="BH55" s="92" t="e">
        <v>#VALUE!</v>
      </c>
      <c r="BI55" s="92" t="e">
        <v>#VALUE!</v>
      </c>
      <c r="BJ55" s="92" t="e">
        <v>#VALUE!</v>
      </c>
      <c r="BN55" s="107"/>
      <c r="BP55" s="107">
        <v>23</v>
      </c>
      <c r="BQ55" s="3" t="s">
        <v>194</v>
      </c>
      <c r="BS55" s="36"/>
      <c r="BU55" s="126"/>
      <c r="BV55" s="126"/>
      <c r="CB55" s="134" t="e">
        <f t="shared" si="4"/>
        <v>#VALUE!</v>
      </c>
      <c r="CC55" s="142" t="e">
        <f t="shared" si="5"/>
        <v>#VALUE!</v>
      </c>
      <c r="CD55" s="142" t="e">
        <f t="shared" si="6"/>
        <v>#VALUE!</v>
      </c>
    </row>
    <row r="56" ht="15" customHeight="1" spans="3:82">
      <c r="C56" s="74" t="e">
        <f>IF($C55&lt;&gt;"",IF($H55&gt;0,$C$36+20,""),"")</f>
        <v>#VALUE!</v>
      </c>
      <c r="D56" s="61" t="e">
        <f t="shared" si="8"/>
        <v>#VALUE!</v>
      </c>
      <c r="E56" s="67"/>
      <c r="F56" s="68" t="e">
        <f t="shared" si="9"/>
        <v>#VALUE!</v>
      </c>
      <c r="G56" s="69" t="e">
        <f t="shared" si="7"/>
        <v>#VALUE!</v>
      </c>
      <c r="H56" s="70" t="e">
        <f t="shared" si="2"/>
        <v>#VALUE!</v>
      </c>
      <c r="Y56" s="92" t="e">
        <f t="shared" si="3"/>
        <v>#VALUE!</v>
      </c>
      <c r="Z56" s="92" t="e">
        <v>#VALUE!</v>
      </c>
      <c r="AA56" s="92" t="e">
        <v>#VALUE!</v>
      </c>
      <c r="AB56" s="92" t="e">
        <v>#VALUE!</v>
      </c>
      <c r="AC56" s="92" t="e">
        <v>#VALUE!</v>
      </c>
      <c r="AD56" s="92" t="e">
        <v>#VALUE!</v>
      </c>
      <c r="AE56" s="92" t="e">
        <v>#VALUE!</v>
      </c>
      <c r="AF56" s="92" t="e">
        <f>IF($C56&lt;&gt;"",IF($C56-'[1]Ins(O)'!$C$56=0,'[1]Ins(O)'!$C$55,0),"")</f>
        <v>#VALUE!</v>
      </c>
      <c r="AG56" s="92" t="e">
        <f>IF($C56&lt;&gt;"",IF($C56-'[1]Ins(O)'!$D$56=0,'[1]Ins(O)'!$D$55,0),"")</f>
        <v>#VALUE!</v>
      </c>
      <c r="AH56" s="92" t="e">
        <f>IF($C56&lt;&gt;"",IF($C56-'[1]Ins(O)'!$E$56=0,'[1]Ins(O)'!$E$55,0),"")</f>
        <v>#VALUE!</v>
      </c>
      <c r="AI56" s="92" t="e">
        <f>IF($C56&lt;&gt;"",IF($C56-'[1]Ins(O)'!$F$56=0,'[1]Ins(O)'!$F$55,0),"")</f>
        <v>#VALUE!</v>
      </c>
      <c r="AJ56" s="92" t="e">
        <f>IF($C56&lt;&gt;"",IF($C56-'[1]Ins(O)'!$G$56=0,'[1]Ins(O)'!$G$55,0),"")</f>
        <v>#VALUE!</v>
      </c>
      <c r="AK56" s="92" t="e">
        <f>IF($C56&lt;&gt;"",IF($C56-'[1]Ins(O)'!$H$56=0,'[1]Ins(O)'!$H$55,0),"")</f>
        <v>#VALUE!</v>
      </c>
      <c r="AL56" s="92" t="e">
        <f>IF($C56&lt;&gt;"",IF($C56-'[1]Ins(O)'!$C$94=0,'[1]Ins(O)'!$C$93,0),"")</f>
        <v>#VALUE!</v>
      </c>
      <c r="AM56" s="92" t="e">
        <f>IF($C56&lt;&gt;"",IF($C56-'[1]Ins(O)'!$D$94=0,'[1]Ins(O)'!$D$93,0),"")</f>
        <v>#VALUE!</v>
      </c>
      <c r="AN56" s="92" t="e">
        <f>IF($C56&lt;&gt;"",IF($C56-'[1]Ins(O)'!$E$94=0,'[1]Ins(O)'!$E$93,0),"")</f>
        <v>#VALUE!</v>
      </c>
      <c r="AO56" s="92" t="e">
        <f>IF($C56&lt;&gt;"",IF($C56-'[1]Ins(O)'!$F$94=0,'[1]Ins(O)'!$F$93,0),"")</f>
        <v>#VALUE!</v>
      </c>
      <c r="AP56" s="92" t="e">
        <f>IF($C56&lt;&gt;"",IF($C56-'[1]Ins(O)'!$G$94=0,'[1]Ins(O)'!$G$93,0),"")</f>
        <v>#VALUE!</v>
      </c>
      <c r="AQ56" s="92" t="e">
        <f>IF($C56&lt;&gt;"",IF($C56-'[1]Ins(O)'!$H$94=0,'[1]Ins(O)'!$H$93,0),"")</f>
        <v>#VALUE!</v>
      </c>
      <c r="AS56" s="92" t="e">
        <v>#VALUE!</v>
      </c>
      <c r="AT56" s="92" t="e">
        <v>#VALUE!</v>
      </c>
      <c r="AU56" s="92" t="e">
        <v>#VALUE!</v>
      </c>
      <c r="AV56" s="92" t="e">
        <v>#VALUE!</v>
      </c>
      <c r="AW56" s="92" t="e">
        <v>#VALUE!</v>
      </c>
      <c r="AX56" s="92" t="e">
        <v>#VALUE!</v>
      </c>
      <c r="AY56" s="92" t="e">
        <v>#VALUE!</v>
      </c>
      <c r="AZ56" s="92" t="e">
        <v>#VALUE!</v>
      </c>
      <c r="BA56" s="92" t="e">
        <v>#VALUE!</v>
      </c>
      <c r="BB56" s="92" t="e">
        <v>#VALUE!</v>
      </c>
      <c r="BC56" s="92" t="e">
        <v>#VALUE!</v>
      </c>
      <c r="BD56" s="92" t="e">
        <v>#VALUE!</v>
      </c>
      <c r="BE56" s="92" t="e">
        <v>#VALUE!</v>
      </c>
      <c r="BF56" s="92" t="e">
        <v>#VALUE!</v>
      </c>
      <c r="BG56" s="92" t="e">
        <v>#VALUE!</v>
      </c>
      <c r="BH56" s="92" t="e">
        <v>#VALUE!</v>
      </c>
      <c r="BI56" s="92" t="e">
        <v>#VALUE!</v>
      </c>
      <c r="BJ56" s="92" t="e">
        <v>#VALUE!</v>
      </c>
      <c r="BN56" s="107"/>
      <c r="BP56" s="107">
        <v>24</v>
      </c>
      <c r="BQ56" s="3" t="s">
        <v>195</v>
      </c>
      <c r="BS56" s="36"/>
      <c r="BU56" s="138">
        <f>((BU21*((1+BU23)^(BU9-BU7)))/BU35)</f>
        <v>1192396.19070857</v>
      </c>
      <c r="BV56" s="126"/>
      <c r="CB56" s="134" t="e">
        <f t="shared" si="4"/>
        <v>#VALUE!</v>
      </c>
      <c r="CC56" s="142" t="e">
        <f t="shared" si="5"/>
        <v>#VALUE!</v>
      </c>
      <c r="CD56" s="142" t="e">
        <f t="shared" si="6"/>
        <v>#VALUE!</v>
      </c>
    </row>
    <row r="57" ht="15" customHeight="1" spans="3:82">
      <c r="C57" s="75" t="e">
        <f>IF($C56&lt;&gt;"",IF($H56&gt;0,$C$36+21,""),"")</f>
        <v>#VALUE!</v>
      </c>
      <c r="D57" s="61" t="e">
        <f t="shared" si="8"/>
        <v>#VALUE!</v>
      </c>
      <c r="E57" s="67"/>
      <c r="F57" s="68" t="e">
        <f t="shared" si="9"/>
        <v>#VALUE!</v>
      </c>
      <c r="G57" s="73" t="e">
        <f t="shared" si="7"/>
        <v>#VALUE!</v>
      </c>
      <c r="H57" s="70" t="e">
        <f t="shared" si="2"/>
        <v>#VALUE!</v>
      </c>
      <c r="Y57" s="92" t="e">
        <f t="shared" si="3"/>
        <v>#VALUE!</v>
      </c>
      <c r="Z57" s="92" t="e">
        <v>#VALUE!</v>
      </c>
      <c r="AA57" s="92" t="e">
        <v>#VALUE!</v>
      </c>
      <c r="AB57" s="92" t="e">
        <v>#VALUE!</v>
      </c>
      <c r="AC57" s="92" t="e">
        <v>#VALUE!</v>
      </c>
      <c r="AD57" s="92" t="e">
        <v>#VALUE!</v>
      </c>
      <c r="AE57" s="92" t="e">
        <v>#VALUE!</v>
      </c>
      <c r="AF57" s="92" t="e">
        <f>IF($C57&lt;&gt;"",IF($C57-'[1]Ins(O)'!$C$56=0,'[1]Ins(O)'!$C$55,0),"")</f>
        <v>#VALUE!</v>
      </c>
      <c r="AG57" s="92" t="e">
        <f>IF($C57&lt;&gt;"",IF($C57-'[1]Ins(O)'!$D$56=0,'[1]Ins(O)'!$D$55,0),"")</f>
        <v>#VALUE!</v>
      </c>
      <c r="AH57" s="92" t="e">
        <f>IF($C57&lt;&gt;"",IF($C57-'[1]Ins(O)'!$E$56=0,'[1]Ins(O)'!$E$55,0),"")</f>
        <v>#VALUE!</v>
      </c>
      <c r="AI57" s="92" t="e">
        <f>IF($C57&lt;&gt;"",IF($C57-'[1]Ins(O)'!$F$56=0,'[1]Ins(O)'!$F$55,0),"")</f>
        <v>#VALUE!</v>
      </c>
      <c r="AJ57" s="92" t="e">
        <f>IF($C57&lt;&gt;"",IF($C57-'[1]Ins(O)'!$G$56=0,'[1]Ins(O)'!$G$55,0),"")</f>
        <v>#VALUE!</v>
      </c>
      <c r="AK57" s="92" t="e">
        <f>IF($C57&lt;&gt;"",IF($C57-'[1]Ins(O)'!$H$56=0,'[1]Ins(O)'!$H$55,0),"")</f>
        <v>#VALUE!</v>
      </c>
      <c r="AL57" s="92" t="e">
        <f>IF($C57&lt;&gt;"",IF($C57-'[1]Ins(O)'!$C$94=0,'[1]Ins(O)'!$C$93,0),"")</f>
        <v>#VALUE!</v>
      </c>
      <c r="AM57" s="92" t="e">
        <f>IF($C57&lt;&gt;"",IF($C57-'[1]Ins(O)'!$D$94=0,'[1]Ins(O)'!$D$93,0),"")</f>
        <v>#VALUE!</v>
      </c>
      <c r="AN57" s="92" t="e">
        <f>IF($C57&lt;&gt;"",IF($C57-'[1]Ins(O)'!$E$94=0,'[1]Ins(O)'!$E$93,0),"")</f>
        <v>#VALUE!</v>
      </c>
      <c r="AO57" s="92" t="e">
        <f>IF($C57&lt;&gt;"",IF($C57-'[1]Ins(O)'!$F$94=0,'[1]Ins(O)'!$F$93,0),"")</f>
        <v>#VALUE!</v>
      </c>
      <c r="AP57" s="92" t="e">
        <f>IF($C57&lt;&gt;"",IF($C57-'[1]Ins(O)'!$G$94=0,'[1]Ins(O)'!$G$93,0),"")</f>
        <v>#VALUE!</v>
      </c>
      <c r="AQ57" s="92" t="e">
        <f>IF($C57&lt;&gt;"",IF($C57-'[1]Ins(O)'!$H$94=0,'[1]Ins(O)'!$H$93,0),"")</f>
        <v>#VALUE!</v>
      </c>
      <c r="AS57" s="92" t="e">
        <v>#VALUE!</v>
      </c>
      <c r="AT57" s="92" t="e">
        <v>#VALUE!</v>
      </c>
      <c r="AU57" s="92" t="e">
        <v>#VALUE!</v>
      </c>
      <c r="AV57" s="92" t="e">
        <v>#VALUE!</v>
      </c>
      <c r="AW57" s="92" t="e">
        <v>#VALUE!</v>
      </c>
      <c r="AX57" s="92" t="e">
        <v>#VALUE!</v>
      </c>
      <c r="AY57" s="92" t="e">
        <v>#VALUE!</v>
      </c>
      <c r="AZ57" s="92" t="e">
        <v>#VALUE!</v>
      </c>
      <c r="BA57" s="92" t="e">
        <v>#VALUE!</v>
      </c>
      <c r="BB57" s="92" t="e">
        <v>#VALUE!</v>
      </c>
      <c r="BC57" s="92" t="e">
        <v>#VALUE!</v>
      </c>
      <c r="BD57" s="92" t="e">
        <v>#VALUE!</v>
      </c>
      <c r="BE57" s="92" t="e">
        <v>#VALUE!</v>
      </c>
      <c r="BF57" s="92" t="e">
        <v>#VALUE!</v>
      </c>
      <c r="BG57" s="92" t="e">
        <v>#VALUE!</v>
      </c>
      <c r="BH57" s="92" t="e">
        <v>#VALUE!</v>
      </c>
      <c r="BI57" s="92" t="e">
        <v>#VALUE!</v>
      </c>
      <c r="BJ57" s="92" t="e">
        <v>#VALUE!</v>
      </c>
      <c r="BN57" s="107"/>
      <c r="BP57" s="107">
        <v>25</v>
      </c>
      <c r="BU57" s="136"/>
      <c r="BV57" s="126"/>
      <c r="BW57" s="5"/>
      <c r="BX57" s="112"/>
      <c r="CB57" s="134" t="e">
        <f t="shared" si="4"/>
        <v>#VALUE!</v>
      </c>
      <c r="CC57" s="142" t="e">
        <f t="shared" si="5"/>
        <v>#VALUE!</v>
      </c>
      <c r="CD57" s="142" t="e">
        <f t="shared" si="6"/>
        <v>#VALUE!</v>
      </c>
    </row>
    <row r="58" ht="15" customHeight="1" spans="3:82">
      <c r="C58" s="74" t="e">
        <f>IF($C57&lt;&gt;"",IF($H57&gt;0,$C$36+22,""),"")</f>
        <v>#VALUE!</v>
      </c>
      <c r="D58" s="61" t="e">
        <f t="shared" si="8"/>
        <v>#VALUE!</v>
      </c>
      <c r="E58" s="67"/>
      <c r="F58" s="68" t="e">
        <f t="shared" si="9"/>
        <v>#VALUE!</v>
      </c>
      <c r="G58" s="69" t="e">
        <f t="shared" si="7"/>
        <v>#VALUE!</v>
      </c>
      <c r="H58" s="70" t="e">
        <f t="shared" si="2"/>
        <v>#VALUE!</v>
      </c>
      <c r="Y58" s="92" t="e">
        <f t="shared" si="3"/>
        <v>#VALUE!</v>
      </c>
      <c r="Z58" s="92" t="e">
        <v>#VALUE!</v>
      </c>
      <c r="AA58" s="92" t="e">
        <v>#VALUE!</v>
      </c>
      <c r="AB58" s="92" t="e">
        <v>#VALUE!</v>
      </c>
      <c r="AC58" s="92" t="e">
        <v>#VALUE!</v>
      </c>
      <c r="AD58" s="92" t="e">
        <v>#VALUE!</v>
      </c>
      <c r="AE58" s="92" t="e">
        <v>#VALUE!</v>
      </c>
      <c r="AF58" s="92" t="e">
        <f>IF($C58&lt;&gt;"",IF($C58-'[1]Ins(O)'!$C$56=0,'[1]Ins(O)'!$C$55,0),"")</f>
        <v>#VALUE!</v>
      </c>
      <c r="AG58" s="92" t="e">
        <f>IF($C58&lt;&gt;"",IF($C58-'[1]Ins(O)'!$D$56=0,'[1]Ins(O)'!$D$55,0),"")</f>
        <v>#VALUE!</v>
      </c>
      <c r="AH58" s="92" t="e">
        <f>IF($C58&lt;&gt;"",IF($C58-'[1]Ins(O)'!$E$56=0,'[1]Ins(O)'!$E$55,0),"")</f>
        <v>#VALUE!</v>
      </c>
      <c r="AI58" s="92" t="e">
        <f>IF($C58&lt;&gt;"",IF($C58-'[1]Ins(O)'!$F$56=0,'[1]Ins(O)'!$F$55,0),"")</f>
        <v>#VALUE!</v>
      </c>
      <c r="AJ58" s="92" t="e">
        <f>IF($C58&lt;&gt;"",IF($C58-'[1]Ins(O)'!$G$56=0,'[1]Ins(O)'!$G$55,0),"")</f>
        <v>#VALUE!</v>
      </c>
      <c r="AK58" s="92" t="e">
        <f>IF($C58&lt;&gt;"",IF($C58-'[1]Ins(O)'!$H$56=0,'[1]Ins(O)'!$H$55,0),"")</f>
        <v>#VALUE!</v>
      </c>
      <c r="AL58" s="92" t="e">
        <f>IF($C58&lt;&gt;"",IF($C58-'[1]Ins(O)'!$C$94=0,'[1]Ins(O)'!$C$93,0),"")</f>
        <v>#VALUE!</v>
      </c>
      <c r="AM58" s="92" t="e">
        <f>IF($C58&lt;&gt;"",IF($C58-'[1]Ins(O)'!$D$94=0,'[1]Ins(O)'!$D$93,0),"")</f>
        <v>#VALUE!</v>
      </c>
      <c r="AN58" s="92" t="e">
        <f>IF($C58&lt;&gt;"",IF($C58-'[1]Ins(O)'!$E$94=0,'[1]Ins(O)'!$E$93,0),"")</f>
        <v>#VALUE!</v>
      </c>
      <c r="AO58" s="92" t="e">
        <f>IF($C58&lt;&gt;"",IF($C58-'[1]Ins(O)'!$F$94=0,'[1]Ins(O)'!$F$93,0),"")</f>
        <v>#VALUE!</v>
      </c>
      <c r="AP58" s="92" t="e">
        <f>IF($C58&lt;&gt;"",IF($C58-'[1]Ins(O)'!$G$94=0,'[1]Ins(O)'!$G$93,0),"")</f>
        <v>#VALUE!</v>
      </c>
      <c r="AQ58" s="92" t="e">
        <f>IF($C58&lt;&gt;"",IF($C58-'[1]Ins(O)'!$H$94=0,'[1]Ins(O)'!$H$93,0),"")</f>
        <v>#VALUE!</v>
      </c>
      <c r="AS58" s="92" t="e">
        <v>#VALUE!</v>
      </c>
      <c r="AT58" s="92" t="e">
        <v>#VALUE!</v>
      </c>
      <c r="AU58" s="92" t="e">
        <v>#VALUE!</v>
      </c>
      <c r="AV58" s="92" t="e">
        <v>#VALUE!</v>
      </c>
      <c r="AW58" s="92" t="e">
        <v>#VALUE!</v>
      </c>
      <c r="AX58" s="92" t="e">
        <v>#VALUE!</v>
      </c>
      <c r="AY58" s="92" t="e">
        <v>#VALUE!</v>
      </c>
      <c r="AZ58" s="92" t="e">
        <v>#VALUE!</v>
      </c>
      <c r="BA58" s="92" t="e">
        <v>#VALUE!</v>
      </c>
      <c r="BB58" s="92" t="e">
        <v>#VALUE!</v>
      </c>
      <c r="BC58" s="92" t="e">
        <v>#VALUE!</v>
      </c>
      <c r="BD58" s="92" t="e">
        <v>#VALUE!</v>
      </c>
      <c r="BE58" s="92" t="e">
        <v>#VALUE!</v>
      </c>
      <c r="BF58" s="92" t="e">
        <v>#VALUE!</v>
      </c>
      <c r="BG58" s="92" t="e">
        <v>#VALUE!</v>
      </c>
      <c r="BH58" s="92" t="e">
        <v>#VALUE!</v>
      </c>
      <c r="BI58" s="92" t="e">
        <v>#VALUE!</v>
      </c>
      <c r="BJ58" s="92" t="e">
        <v>#VALUE!</v>
      </c>
      <c r="BN58" s="107"/>
      <c r="BP58" s="107">
        <v>26</v>
      </c>
      <c r="BQ58" s="3" t="s">
        <v>196</v>
      </c>
      <c r="BU58" s="140">
        <f>BU56-BU51</f>
        <v>-210155.539991429</v>
      </c>
      <c r="BV58" s="141"/>
      <c r="CB58" s="134" t="e">
        <f t="shared" si="4"/>
        <v>#VALUE!</v>
      </c>
      <c r="CC58" s="142" t="e">
        <f t="shared" si="5"/>
        <v>#VALUE!</v>
      </c>
      <c r="CD58" s="142" t="e">
        <f t="shared" si="6"/>
        <v>#VALUE!</v>
      </c>
    </row>
    <row r="59" ht="15" customHeight="1" spans="3:82">
      <c r="C59" s="74" t="e">
        <f>IF($C58&lt;&gt;"",IF($H58&gt;0,$C$36+23,""),"")</f>
        <v>#VALUE!</v>
      </c>
      <c r="D59" s="61" t="e">
        <f t="shared" si="8"/>
        <v>#VALUE!</v>
      </c>
      <c r="E59" s="67"/>
      <c r="F59" s="68" t="e">
        <f t="shared" si="9"/>
        <v>#VALUE!</v>
      </c>
      <c r="G59" s="69" t="e">
        <f t="shared" si="7"/>
        <v>#VALUE!</v>
      </c>
      <c r="H59" s="70" t="e">
        <f t="shared" si="2"/>
        <v>#VALUE!</v>
      </c>
      <c r="Y59" s="92" t="e">
        <f t="shared" si="3"/>
        <v>#VALUE!</v>
      </c>
      <c r="Z59" s="92" t="e">
        <v>#VALUE!</v>
      </c>
      <c r="AA59" s="92" t="e">
        <v>#VALUE!</v>
      </c>
      <c r="AB59" s="92" t="e">
        <v>#VALUE!</v>
      </c>
      <c r="AC59" s="92" t="e">
        <v>#VALUE!</v>
      </c>
      <c r="AD59" s="92" t="e">
        <v>#VALUE!</v>
      </c>
      <c r="AE59" s="92" t="e">
        <v>#VALUE!</v>
      </c>
      <c r="AF59" s="92" t="e">
        <f>IF($C59&lt;&gt;"",IF($C59-'[1]Ins(O)'!$C$56=0,'[1]Ins(O)'!$C$55,0),"")</f>
        <v>#VALUE!</v>
      </c>
      <c r="AG59" s="92" t="e">
        <f>IF($C59&lt;&gt;"",IF($C59-'[1]Ins(O)'!$D$56=0,'[1]Ins(O)'!$D$55,0),"")</f>
        <v>#VALUE!</v>
      </c>
      <c r="AH59" s="92" t="e">
        <f>IF($C59&lt;&gt;"",IF($C59-'[1]Ins(O)'!$E$56=0,'[1]Ins(O)'!$E$55,0),"")</f>
        <v>#VALUE!</v>
      </c>
      <c r="AI59" s="92" t="e">
        <f>IF($C59&lt;&gt;"",IF($C59-'[1]Ins(O)'!$F$56=0,'[1]Ins(O)'!$F$55,0),"")</f>
        <v>#VALUE!</v>
      </c>
      <c r="AJ59" s="92" t="e">
        <f>IF($C59&lt;&gt;"",IF($C59-'[1]Ins(O)'!$G$56=0,'[1]Ins(O)'!$G$55,0),"")</f>
        <v>#VALUE!</v>
      </c>
      <c r="AK59" s="92" t="e">
        <f>IF($C59&lt;&gt;"",IF($C59-'[1]Ins(O)'!$H$56=0,'[1]Ins(O)'!$H$55,0),"")</f>
        <v>#VALUE!</v>
      </c>
      <c r="AL59" s="92" t="e">
        <f>IF($C59&lt;&gt;"",IF($C59-'[1]Ins(O)'!$C$94=0,'[1]Ins(O)'!$C$93,0),"")</f>
        <v>#VALUE!</v>
      </c>
      <c r="AM59" s="92" t="e">
        <f>IF($C59&lt;&gt;"",IF($C59-'[1]Ins(O)'!$D$94=0,'[1]Ins(O)'!$D$93,0),"")</f>
        <v>#VALUE!</v>
      </c>
      <c r="AN59" s="92" t="e">
        <f>IF($C59&lt;&gt;"",IF($C59-'[1]Ins(O)'!$E$94=0,'[1]Ins(O)'!$E$93,0),"")</f>
        <v>#VALUE!</v>
      </c>
      <c r="AO59" s="92" t="e">
        <f>IF($C59&lt;&gt;"",IF($C59-'[1]Ins(O)'!$F$94=0,'[1]Ins(O)'!$F$93,0),"")</f>
        <v>#VALUE!</v>
      </c>
      <c r="AP59" s="92" t="e">
        <f>IF($C59&lt;&gt;"",IF($C59-'[1]Ins(O)'!$G$94=0,'[1]Ins(O)'!$G$93,0),"")</f>
        <v>#VALUE!</v>
      </c>
      <c r="AQ59" s="92" t="e">
        <f>IF($C59&lt;&gt;"",IF($C59-'[1]Ins(O)'!$H$94=0,'[1]Ins(O)'!$H$93,0),"")</f>
        <v>#VALUE!</v>
      </c>
      <c r="AS59" s="92" t="e">
        <v>#VALUE!</v>
      </c>
      <c r="AT59" s="92" t="e">
        <v>#VALUE!</v>
      </c>
      <c r="AU59" s="92" t="e">
        <v>#VALUE!</v>
      </c>
      <c r="AV59" s="92" t="e">
        <v>#VALUE!</v>
      </c>
      <c r="AW59" s="92" t="e">
        <v>#VALUE!</v>
      </c>
      <c r="AX59" s="92" t="e">
        <v>#VALUE!</v>
      </c>
      <c r="AY59" s="92" t="e">
        <v>#VALUE!</v>
      </c>
      <c r="AZ59" s="92" t="e">
        <v>#VALUE!</v>
      </c>
      <c r="BA59" s="92" t="e">
        <v>#VALUE!</v>
      </c>
      <c r="BB59" s="92" t="e">
        <v>#VALUE!</v>
      </c>
      <c r="BC59" s="92" t="e">
        <v>#VALUE!</v>
      </c>
      <c r="BD59" s="92" t="e">
        <v>#VALUE!</v>
      </c>
      <c r="BE59" s="92" t="e">
        <v>#VALUE!</v>
      </c>
      <c r="BF59" s="92" t="e">
        <v>#VALUE!</v>
      </c>
      <c r="BG59" s="92" t="e">
        <v>#VALUE!</v>
      </c>
      <c r="BH59" s="92" t="e">
        <v>#VALUE!</v>
      </c>
      <c r="BI59" s="92" t="e">
        <v>#VALUE!</v>
      </c>
      <c r="BJ59" s="92" t="e">
        <v>#VALUE!</v>
      </c>
      <c r="BN59" s="107"/>
      <c r="BP59" s="107">
        <v>27</v>
      </c>
      <c r="CB59" s="134" t="e">
        <f t="shared" si="4"/>
        <v>#VALUE!</v>
      </c>
      <c r="CC59" s="142" t="e">
        <f t="shared" si="5"/>
        <v>#VALUE!</v>
      </c>
      <c r="CD59" s="142" t="e">
        <f t="shared" si="6"/>
        <v>#VALUE!</v>
      </c>
    </row>
    <row r="60" ht="15" customHeight="1" spans="3:82">
      <c r="C60" s="74" t="e">
        <f>IF($C59&lt;&gt;"",IF($H59&gt;0,$C$36+24,""),"")</f>
        <v>#VALUE!</v>
      </c>
      <c r="D60" s="61" t="e">
        <f t="shared" si="8"/>
        <v>#VALUE!</v>
      </c>
      <c r="E60" s="67"/>
      <c r="F60" s="68" t="e">
        <f t="shared" si="9"/>
        <v>#VALUE!</v>
      </c>
      <c r="G60" s="69" t="e">
        <f t="shared" si="7"/>
        <v>#VALUE!</v>
      </c>
      <c r="H60" s="70" t="e">
        <f t="shared" si="2"/>
        <v>#VALUE!</v>
      </c>
      <c r="Y60" s="92" t="e">
        <f t="shared" si="3"/>
        <v>#VALUE!</v>
      </c>
      <c r="Z60" s="92" t="e">
        <v>#VALUE!</v>
      </c>
      <c r="AA60" s="92" t="e">
        <v>#VALUE!</v>
      </c>
      <c r="AB60" s="92" t="e">
        <v>#VALUE!</v>
      </c>
      <c r="AC60" s="92" t="e">
        <v>#VALUE!</v>
      </c>
      <c r="AD60" s="92" t="e">
        <v>#VALUE!</v>
      </c>
      <c r="AE60" s="92" t="e">
        <v>#VALUE!</v>
      </c>
      <c r="AF60" s="92" t="e">
        <f>IF($C60&lt;&gt;"",IF($C60-'[1]Ins(O)'!$C$56=0,'[1]Ins(O)'!$C$55,0),"")</f>
        <v>#VALUE!</v>
      </c>
      <c r="AG60" s="92" t="e">
        <f>IF($C60&lt;&gt;"",IF($C60-'[1]Ins(O)'!$D$56=0,'[1]Ins(O)'!$D$55,0),"")</f>
        <v>#VALUE!</v>
      </c>
      <c r="AH60" s="92" t="e">
        <f>IF($C60&lt;&gt;"",IF($C60-'[1]Ins(O)'!$E$56=0,'[1]Ins(O)'!$E$55,0),"")</f>
        <v>#VALUE!</v>
      </c>
      <c r="AI60" s="92" t="e">
        <f>IF($C60&lt;&gt;"",IF($C60-'[1]Ins(O)'!$F$56=0,'[1]Ins(O)'!$F$55,0),"")</f>
        <v>#VALUE!</v>
      </c>
      <c r="AJ60" s="92" t="e">
        <f>IF($C60&lt;&gt;"",IF($C60-'[1]Ins(O)'!$G$56=0,'[1]Ins(O)'!$G$55,0),"")</f>
        <v>#VALUE!</v>
      </c>
      <c r="AK60" s="92" t="e">
        <f>IF($C60&lt;&gt;"",IF($C60-'[1]Ins(O)'!$H$56=0,'[1]Ins(O)'!$H$55,0),"")</f>
        <v>#VALUE!</v>
      </c>
      <c r="AL60" s="92" t="e">
        <f>IF($C60&lt;&gt;"",IF($C60-'[1]Ins(O)'!$C$94=0,'[1]Ins(O)'!$C$93,0),"")</f>
        <v>#VALUE!</v>
      </c>
      <c r="AM60" s="92" t="e">
        <f>IF($C60&lt;&gt;"",IF($C60-'[1]Ins(O)'!$D$94=0,'[1]Ins(O)'!$D$93,0),"")</f>
        <v>#VALUE!</v>
      </c>
      <c r="AN60" s="92" t="e">
        <f>IF($C60&lt;&gt;"",IF($C60-'[1]Ins(O)'!$E$94=0,'[1]Ins(O)'!$E$93,0),"")</f>
        <v>#VALUE!</v>
      </c>
      <c r="AO60" s="92" t="e">
        <f>IF($C60&lt;&gt;"",IF($C60-'[1]Ins(O)'!$F$94=0,'[1]Ins(O)'!$F$93,0),"")</f>
        <v>#VALUE!</v>
      </c>
      <c r="AP60" s="92" t="e">
        <f>IF($C60&lt;&gt;"",IF($C60-'[1]Ins(O)'!$G$94=0,'[1]Ins(O)'!$G$93,0),"")</f>
        <v>#VALUE!</v>
      </c>
      <c r="AQ60" s="92" t="e">
        <f>IF($C60&lt;&gt;"",IF($C60-'[1]Ins(O)'!$H$94=0,'[1]Ins(O)'!$H$93,0),"")</f>
        <v>#VALUE!</v>
      </c>
      <c r="AS60" s="92" t="e">
        <v>#VALUE!</v>
      </c>
      <c r="AT60" s="92" t="e">
        <v>#VALUE!</v>
      </c>
      <c r="AU60" s="92" t="e">
        <v>#VALUE!</v>
      </c>
      <c r="AV60" s="92" t="e">
        <v>#VALUE!</v>
      </c>
      <c r="AW60" s="92" t="e">
        <v>#VALUE!</v>
      </c>
      <c r="AX60" s="92" t="e">
        <v>#VALUE!</v>
      </c>
      <c r="AY60" s="92" t="e">
        <v>#VALUE!</v>
      </c>
      <c r="AZ60" s="92" t="e">
        <v>#VALUE!</v>
      </c>
      <c r="BA60" s="92" t="e">
        <v>#VALUE!</v>
      </c>
      <c r="BB60" s="92" t="e">
        <v>#VALUE!</v>
      </c>
      <c r="BC60" s="92" t="e">
        <v>#VALUE!</v>
      </c>
      <c r="BD60" s="92" t="e">
        <v>#VALUE!</v>
      </c>
      <c r="BE60" s="92" t="e">
        <v>#VALUE!</v>
      </c>
      <c r="BF60" s="92" t="e">
        <v>#VALUE!</v>
      </c>
      <c r="BG60" s="92" t="e">
        <v>#VALUE!</v>
      </c>
      <c r="BH60" s="92" t="e">
        <v>#VALUE!</v>
      </c>
      <c r="BI60" s="92" t="e">
        <v>#VALUE!</v>
      </c>
      <c r="BJ60" s="92" t="e">
        <v>#VALUE!</v>
      </c>
      <c r="BN60" s="107"/>
      <c r="BP60" s="107">
        <v>28</v>
      </c>
      <c r="CB60" s="134" t="e">
        <f t="shared" si="4"/>
        <v>#VALUE!</v>
      </c>
      <c r="CC60" s="142" t="e">
        <f t="shared" si="5"/>
        <v>#VALUE!</v>
      </c>
      <c r="CD60" s="142" t="e">
        <f t="shared" si="6"/>
        <v>#VALUE!</v>
      </c>
    </row>
    <row r="61" ht="15" customHeight="1" spans="3:82">
      <c r="C61" s="74" t="e">
        <f>IF($C60&lt;&gt;"",IF($H60&gt;0,$C$36+25,""),"")</f>
        <v>#VALUE!</v>
      </c>
      <c r="D61" s="61" t="e">
        <f t="shared" si="8"/>
        <v>#VALUE!</v>
      </c>
      <c r="E61" s="67"/>
      <c r="F61" s="68" t="e">
        <f t="shared" si="9"/>
        <v>#VALUE!</v>
      </c>
      <c r="G61" s="69" t="e">
        <f t="shared" si="7"/>
        <v>#VALUE!</v>
      </c>
      <c r="H61" s="70" t="e">
        <f t="shared" si="2"/>
        <v>#VALUE!</v>
      </c>
      <c r="Y61" s="92" t="e">
        <f t="shared" si="3"/>
        <v>#VALUE!</v>
      </c>
      <c r="Z61" s="92" t="e">
        <v>#VALUE!</v>
      </c>
      <c r="AA61" s="92" t="e">
        <v>#VALUE!</v>
      </c>
      <c r="AB61" s="92" t="e">
        <v>#VALUE!</v>
      </c>
      <c r="AC61" s="92" t="e">
        <v>#VALUE!</v>
      </c>
      <c r="AD61" s="92" t="e">
        <v>#VALUE!</v>
      </c>
      <c r="AE61" s="92" t="e">
        <v>#VALUE!</v>
      </c>
      <c r="AF61" s="92" t="e">
        <f>IF($C61&lt;&gt;"",IF($C61-'[1]Ins(O)'!$C$56=0,'[1]Ins(O)'!$C$55,0),"")</f>
        <v>#VALUE!</v>
      </c>
      <c r="AG61" s="92" t="e">
        <f>IF($C61&lt;&gt;"",IF($C61-'[1]Ins(O)'!$D$56=0,'[1]Ins(O)'!$D$55,0),"")</f>
        <v>#VALUE!</v>
      </c>
      <c r="AH61" s="92" t="e">
        <f>IF($C61&lt;&gt;"",IF($C61-'[1]Ins(O)'!$E$56=0,'[1]Ins(O)'!$E$55,0),"")</f>
        <v>#VALUE!</v>
      </c>
      <c r="AI61" s="92" t="e">
        <f>IF($C61&lt;&gt;"",IF($C61-'[1]Ins(O)'!$F$56=0,'[1]Ins(O)'!$F$55,0),"")</f>
        <v>#VALUE!</v>
      </c>
      <c r="AJ61" s="92" t="e">
        <f>IF($C61&lt;&gt;"",IF($C61-'[1]Ins(O)'!$G$56=0,'[1]Ins(O)'!$G$55,0),"")</f>
        <v>#VALUE!</v>
      </c>
      <c r="AK61" s="92" t="e">
        <f>IF($C61&lt;&gt;"",IF($C61-'[1]Ins(O)'!$H$56=0,'[1]Ins(O)'!$H$55,0),"")</f>
        <v>#VALUE!</v>
      </c>
      <c r="AL61" s="92" t="e">
        <f>IF($C61&lt;&gt;"",IF($C61-'[1]Ins(O)'!$C$94=0,'[1]Ins(O)'!$C$93,0),"")</f>
        <v>#VALUE!</v>
      </c>
      <c r="AM61" s="92" t="e">
        <f>IF($C61&lt;&gt;"",IF($C61-'[1]Ins(O)'!$D$94=0,'[1]Ins(O)'!$D$93,0),"")</f>
        <v>#VALUE!</v>
      </c>
      <c r="AN61" s="92" t="e">
        <f>IF($C61&lt;&gt;"",IF($C61-'[1]Ins(O)'!$E$94=0,'[1]Ins(O)'!$E$93,0),"")</f>
        <v>#VALUE!</v>
      </c>
      <c r="AO61" s="92" t="e">
        <f>IF($C61&lt;&gt;"",IF($C61-'[1]Ins(O)'!$F$94=0,'[1]Ins(O)'!$F$93,0),"")</f>
        <v>#VALUE!</v>
      </c>
      <c r="AP61" s="92" t="e">
        <f>IF($C61&lt;&gt;"",IF($C61-'[1]Ins(O)'!$G$94=0,'[1]Ins(O)'!$G$93,0),"")</f>
        <v>#VALUE!</v>
      </c>
      <c r="AQ61" s="92" t="e">
        <f>IF($C61&lt;&gt;"",IF($C61-'[1]Ins(O)'!$H$94=0,'[1]Ins(O)'!$H$93,0),"")</f>
        <v>#VALUE!</v>
      </c>
      <c r="AS61" s="92" t="e">
        <v>#VALUE!</v>
      </c>
      <c r="AT61" s="92" t="e">
        <v>#VALUE!</v>
      </c>
      <c r="AU61" s="92" t="e">
        <v>#VALUE!</v>
      </c>
      <c r="AV61" s="92" t="e">
        <v>#VALUE!</v>
      </c>
      <c r="AW61" s="92" t="e">
        <v>#VALUE!</v>
      </c>
      <c r="AX61" s="92" t="e">
        <v>#VALUE!</v>
      </c>
      <c r="AY61" s="92" t="e">
        <v>#VALUE!</v>
      </c>
      <c r="AZ61" s="92" t="e">
        <v>#VALUE!</v>
      </c>
      <c r="BA61" s="92" t="e">
        <v>#VALUE!</v>
      </c>
      <c r="BB61" s="92" t="e">
        <v>#VALUE!</v>
      </c>
      <c r="BC61" s="92" t="e">
        <v>#VALUE!</v>
      </c>
      <c r="BD61" s="92" t="e">
        <v>#VALUE!</v>
      </c>
      <c r="BE61" s="92" t="e">
        <v>#VALUE!</v>
      </c>
      <c r="BF61" s="92" t="e">
        <v>#VALUE!</v>
      </c>
      <c r="BG61" s="92" t="e">
        <v>#VALUE!</v>
      </c>
      <c r="BH61" s="92" t="e">
        <v>#VALUE!</v>
      </c>
      <c r="BI61" s="92" t="e">
        <v>#VALUE!</v>
      </c>
      <c r="BJ61" s="92" t="e">
        <v>#VALUE!</v>
      </c>
      <c r="BN61" s="107"/>
      <c r="BP61" s="107">
        <v>29</v>
      </c>
      <c r="CB61" s="134" t="e">
        <f t="shared" si="4"/>
        <v>#VALUE!</v>
      </c>
      <c r="CC61" s="142" t="e">
        <f t="shared" si="5"/>
        <v>#VALUE!</v>
      </c>
      <c r="CD61" s="142" t="e">
        <f t="shared" si="6"/>
        <v>#VALUE!</v>
      </c>
    </row>
    <row r="62" ht="15" customHeight="1" spans="3:82">
      <c r="C62" s="74" t="e">
        <f>IF($C61&lt;&gt;"",IF($H61&gt;0,$C$36+26,""),"")</f>
        <v>#VALUE!</v>
      </c>
      <c r="D62" s="61" t="e">
        <f t="shared" si="8"/>
        <v>#VALUE!</v>
      </c>
      <c r="E62" s="67"/>
      <c r="F62" s="68" t="e">
        <f t="shared" si="9"/>
        <v>#VALUE!</v>
      </c>
      <c r="G62" s="69" t="e">
        <f t="shared" si="7"/>
        <v>#VALUE!</v>
      </c>
      <c r="H62" s="70" t="e">
        <f t="shared" si="2"/>
        <v>#VALUE!</v>
      </c>
      <c r="Y62" s="92" t="e">
        <f t="shared" si="3"/>
        <v>#VALUE!</v>
      </c>
      <c r="Z62" s="92" t="e">
        <v>#VALUE!</v>
      </c>
      <c r="AA62" s="92" t="e">
        <v>#VALUE!</v>
      </c>
      <c r="AB62" s="92" t="e">
        <v>#VALUE!</v>
      </c>
      <c r="AC62" s="92" t="e">
        <v>#VALUE!</v>
      </c>
      <c r="AD62" s="92" t="e">
        <v>#VALUE!</v>
      </c>
      <c r="AE62" s="92" t="e">
        <v>#VALUE!</v>
      </c>
      <c r="AF62" s="92" t="e">
        <f>IF($C62&lt;&gt;"",IF($C62-'[1]Ins(O)'!$C$56=0,'[1]Ins(O)'!$C$55,0),"")</f>
        <v>#VALUE!</v>
      </c>
      <c r="AG62" s="92" t="e">
        <f>IF($C62&lt;&gt;"",IF($C62-'[1]Ins(O)'!$D$56=0,'[1]Ins(O)'!$D$55,0),"")</f>
        <v>#VALUE!</v>
      </c>
      <c r="AH62" s="92" t="e">
        <f>IF($C62&lt;&gt;"",IF($C62-'[1]Ins(O)'!$E$56=0,'[1]Ins(O)'!$E$55,0),"")</f>
        <v>#VALUE!</v>
      </c>
      <c r="AI62" s="92" t="e">
        <f>IF($C62&lt;&gt;"",IF($C62-'[1]Ins(O)'!$F$56=0,'[1]Ins(O)'!$F$55,0),"")</f>
        <v>#VALUE!</v>
      </c>
      <c r="AJ62" s="92" t="e">
        <f>IF($C62&lt;&gt;"",IF($C62-'[1]Ins(O)'!$G$56=0,'[1]Ins(O)'!$G$55,0),"")</f>
        <v>#VALUE!</v>
      </c>
      <c r="AK62" s="92" t="e">
        <f>IF($C62&lt;&gt;"",IF($C62-'[1]Ins(O)'!$H$56=0,'[1]Ins(O)'!$H$55,0),"")</f>
        <v>#VALUE!</v>
      </c>
      <c r="AL62" s="92" t="e">
        <f>IF($C62&lt;&gt;"",IF($C62-'[1]Ins(O)'!$C$94=0,'[1]Ins(O)'!$C$93,0),"")</f>
        <v>#VALUE!</v>
      </c>
      <c r="AM62" s="92" t="e">
        <f>IF($C62&lt;&gt;"",IF($C62-'[1]Ins(O)'!$D$94=0,'[1]Ins(O)'!$D$93,0),"")</f>
        <v>#VALUE!</v>
      </c>
      <c r="AN62" s="92" t="e">
        <f>IF($C62&lt;&gt;"",IF($C62-'[1]Ins(O)'!$E$94=0,'[1]Ins(O)'!$E$93,0),"")</f>
        <v>#VALUE!</v>
      </c>
      <c r="AO62" s="92" t="e">
        <f>IF($C62&lt;&gt;"",IF($C62-'[1]Ins(O)'!$F$94=0,'[1]Ins(O)'!$F$93,0),"")</f>
        <v>#VALUE!</v>
      </c>
      <c r="AP62" s="92" t="e">
        <f>IF($C62&lt;&gt;"",IF($C62-'[1]Ins(O)'!$G$94=0,'[1]Ins(O)'!$G$93,0),"")</f>
        <v>#VALUE!</v>
      </c>
      <c r="AQ62" s="92" t="e">
        <f>IF($C62&lt;&gt;"",IF($C62-'[1]Ins(O)'!$H$94=0,'[1]Ins(O)'!$H$93,0),"")</f>
        <v>#VALUE!</v>
      </c>
      <c r="AS62" s="92" t="e">
        <v>#VALUE!</v>
      </c>
      <c r="AT62" s="92" t="e">
        <v>#VALUE!</v>
      </c>
      <c r="AU62" s="92" t="e">
        <v>#VALUE!</v>
      </c>
      <c r="AV62" s="92" t="e">
        <v>#VALUE!</v>
      </c>
      <c r="AW62" s="92" t="e">
        <v>#VALUE!</v>
      </c>
      <c r="AX62" s="92" t="e">
        <v>#VALUE!</v>
      </c>
      <c r="AY62" s="92" t="e">
        <v>#VALUE!</v>
      </c>
      <c r="AZ62" s="92" t="e">
        <v>#VALUE!</v>
      </c>
      <c r="BA62" s="92" t="e">
        <v>#VALUE!</v>
      </c>
      <c r="BB62" s="92" t="e">
        <v>#VALUE!</v>
      </c>
      <c r="BC62" s="92" t="e">
        <v>#VALUE!</v>
      </c>
      <c r="BD62" s="92" t="e">
        <v>#VALUE!</v>
      </c>
      <c r="BE62" s="92" t="e">
        <v>#VALUE!</v>
      </c>
      <c r="BF62" s="92" t="e">
        <v>#VALUE!</v>
      </c>
      <c r="BG62" s="92" t="e">
        <v>#VALUE!</v>
      </c>
      <c r="BH62" s="92" t="e">
        <v>#VALUE!</v>
      </c>
      <c r="BI62" s="92" t="e">
        <v>#VALUE!</v>
      </c>
      <c r="BJ62" s="92" t="e">
        <v>#VALUE!</v>
      </c>
      <c r="BN62" s="107"/>
      <c r="BP62" s="107">
        <v>30</v>
      </c>
      <c r="CB62" s="134" t="e">
        <f t="shared" si="4"/>
        <v>#VALUE!</v>
      </c>
      <c r="CC62" s="142" t="e">
        <f t="shared" si="5"/>
        <v>#VALUE!</v>
      </c>
      <c r="CD62" s="142" t="e">
        <f t="shared" si="6"/>
        <v>#VALUE!</v>
      </c>
    </row>
    <row r="63" ht="15" customHeight="1" spans="3:82">
      <c r="C63" s="74" t="e">
        <f>IF($C62&lt;&gt;"",IF($H62&gt;0,$C$36+27,""),"")</f>
        <v>#VALUE!</v>
      </c>
      <c r="D63" s="61" t="e">
        <f t="shared" si="8"/>
        <v>#VALUE!</v>
      </c>
      <c r="E63" s="67"/>
      <c r="F63" s="68" t="e">
        <f t="shared" si="9"/>
        <v>#VALUE!</v>
      </c>
      <c r="G63" s="69" t="e">
        <f t="shared" si="7"/>
        <v>#VALUE!</v>
      </c>
      <c r="H63" s="70" t="e">
        <f t="shared" si="2"/>
        <v>#VALUE!</v>
      </c>
      <c r="Y63" s="92" t="e">
        <f t="shared" si="3"/>
        <v>#VALUE!</v>
      </c>
      <c r="Z63" s="92" t="e">
        <v>#VALUE!</v>
      </c>
      <c r="AA63" s="92" t="e">
        <v>#VALUE!</v>
      </c>
      <c r="AB63" s="92" t="e">
        <v>#VALUE!</v>
      </c>
      <c r="AC63" s="92" t="e">
        <v>#VALUE!</v>
      </c>
      <c r="AD63" s="92" t="e">
        <v>#VALUE!</v>
      </c>
      <c r="AE63" s="92" t="e">
        <v>#VALUE!</v>
      </c>
      <c r="AF63" s="92" t="e">
        <f>IF($C63&lt;&gt;"",IF($C63-'[1]Ins(O)'!$C$56=0,'[1]Ins(O)'!$C$55,0),"")</f>
        <v>#VALUE!</v>
      </c>
      <c r="AG63" s="92" t="e">
        <f>IF($C63&lt;&gt;"",IF($C63-'[1]Ins(O)'!$D$56=0,'[1]Ins(O)'!$D$55,0),"")</f>
        <v>#VALUE!</v>
      </c>
      <c r="AH63" s="92" t="e">
        <f>IF($C63&lt;&gt;"",IF($C63-'[1]Ins(O)'!$E$56=0,'[1]Ins(O)'!$E$55,0),"")</f>
        <v>#VALUE!</v>
      </c>
      <c r="AI63" s="92" t="e">
        <f>IF($C63&lt;&gt;"",IF($C63-'[1]Ins(O)'!$F$56=0,'[1]Ins(O)'!$F$55,0),"")</f>
        <v>#VALUE!</v>
      </c>
      <c r="AJ63" s="92" t="e">
        <f>IF($C63&lt;&gt;"",IF($C63-'[1]Ins(O)'!$G$56=0,'[1]Ins(O)'!$G$55,0),"")</f>
        <v>#VALUE!</v>
      </c>
      <c r="AK63" s="92" t="e">
        <f>IF($C63&lt;&gt;"",IF($C63-'[1]Ins(O)'!$H$56=0,'[1]Ins(O)'!$H$55,0),"")</f>
        <v>#VALUE!</v>
      </c>
      <c r="AL63" s="92" t="e">
        <f>IF($C63&lt;&gt;"",IF($C63-'[1]Ins(O)'!$C$94=0,'[1]Ins(O)'!$C$93,0),"")</f>
        <v>#VALUE!</v>
      </c>
      <c r="AM63" s="92" t="e">
        <f>IF($C63&lt;&gt;"",IF($C63-'[1]Ins(O)'!$D$94=0,'[1]Ins(O)'!$D$93,0),"")</f>
        <v>#VALUE!</v>
      </c>
      <c r="AN63" s="92" t="e">
        <f>IF($C63&lt;&gt;"",IF($C63-'[1]Ins(O)'!$E$94=0,'[1]Ins(O)'!$E$93,0),"")</f>
        <v>#VALUE!</v>
      </c>
      <c r="AO63" s="92" t="e">
        <f>IF($C63&lt;&gt;"",IF($C63-'[1]Ins(O)'!$F$94=0,'[1]Ins(O)'!$F$93,0),"")</f>
        <v>#VALUE!</v>
      </c>
      <c r="AP63" s="92" t="e">
        <f>IF($C63&lt;&gt;"",IF($C63-'[1]Ins(O)'!$G$94=0,'[1]Ins(O)'!$G$93,0),"")</f>
        <v>#VALUE!</v>
      </c>
      <c r="AQ63" s="92" t="e">
        <f>IF($C63&lt;&gt;"",IF($C63-'[1]Ins(O)'!$H$94=0,'[1]Ins(O)'!$H$93,0),"")</f>
        <v>#VALUE!</v>
      </c>
      <c r="AS63" s="92" t="e">
        <v>#VALUE!</v>
      </c>
      <c r="AT63" s="92" t="e">
        <v>#VALUE!</v>
      </c>
      <c r="AU63" s="92" t="e">
        <v>#VALUE!</v>
      </c>
      <c r="AV63" s="92" t="e">
        <v>#VALUE!</v>
      </c>
      <c r="AW63" s="92" t="e">
        <v>#VALUE!</v>
      </c>
      <c r="AX63" s="92" t="e">
        <v>#VALUE!</v>
      </c>
      <c r="AY63" s="92" t="e">
        <v>#VALUE!</v>
      </c>
      <c r="AZ63" s="92" t="e">
        <v>#VALUE!</v>
      </c>
      <c r="BA63" s="92" t="e">
        <v>#VALUE!</v>
      </c>
      <c r="BB63" s="92" t="e">
        <v>#VALUE!</v>
      </c>
      <c r="BC63" s="92" t="e">
        <v>#VALUE!</v>
      </c>
      <c r="BD63" s="92" t="e">
        <v>#VALUE!</v>
      </c>
      <c r="BE63" s="92" t="e">
        <v>#VALUE!</v>
      </c>
      <c r="BF63" s="92" t="e">
        <v>#VALUE!</v>
      </c>
      <c r="BG63" s="92" t="e">
        <v>#VALUE!</v>
      </c>
      <c r="BH63" s="92" t="e">
        <v>#VALUE!</v>
      </c>
      <c r="BI63" s="92" t="e">
        <v>#VALUE!</v>
      </c>
      <c r="BJ63" s="92" t="e">
        <v>#VALUE!</v>
      </c>
      <c r="BN63" s="107"/>
      <c r="BP63" s="107">
        <v>31</v>
      </c>
      <c r="CB63" s="134" t="e">
        <f t="shared" si="4"/>
        <v>#VALUE!</v>
      </c>
      <c r="CC63" s="142" t="e">
        <f t="shared" si="5"/>
        <v>#VALUE!</v>
      </c>
      <c r="CD63" s="142" t="e">
        <f t="shared" si="6"/>
        <v>#VALUE!</v>
      </c>
    </row>
    <row r="64" ht="15" customHeight="1" spans="3:82">
      <c r="C64" s="74" t="e">
        <f>IF($C63&lt;&gt;"",IF($H63&gt;0,$C$36+28,""),"")</f>
        <v>#VALUE!</v>
      </c>
      <c r="D64" s="61" t="e">
        <f t="shared" si="8"/>
        <v>#VALUE!</v>
      </c>
      <c r="E64" s="67"/>
      <c r="F64" s="68" t="e">
        <f t="shared" si="9"/>
        <v>#VALUE!</v>
      </c>
      <c r="G64" s="69" t="e">
        <f t="shared" ref="G64:G71" si="10">IF($C64&lt;&gt;"",((D64-F64)*$BO$35),"")</f>
        <v>#VALUE!</v>
      </c>
      <c r="H64" s="70" t="e">
        <f t="shared" si="2"/>
        <v>#VALUE!</v>
      </c>
      <c r="Y64" s="92" t="e">
        <f t="shared" si="3"/>
        <v>#VALUE!</v>
      </c>
      <c r="Z64" s="92" t="e">
        <v>#VALUE!</v>
      </c>
      <c r="AA64" s="92" t="e">
        <v>#VALUE!</v>
      </c>
      <c r="AB64" s="92" t="e">
        <v>#VALUE!</v>
      </c>
      <c r="AC64" s="92" t="e">
        <v>#VALUE!</v>
      </c>
      <c r="AD64" s="92" t="e">
        <v>#VALUE!</v>
      </c>
      <c r="AE64" s="92" t="e">
        <v>#VALUE!</v>
      </c>
      <c r="AF64" s="92" t="e">
        <f>IF($C64&lt;&gt;"",IF($C64-'[1]Ins(O)'!$C$56=0,'[1]Ins(O)'!$C$55,0),"")</f>
        <v>#VALUE!</v>
      </c>
      <c r="AG64" s="92" t="e">
        <f>IF($C64&lt;&gt;"",IF($C64-'[1]Ins(O)'!$D$56=0,'[1]Ins(O)'!$D$55,0),"")</f>
        <v>#VALUE!</v>
      </c>
      <c r="AH64" s="92" t="e">
        <f>IF($C64&lt;&gt;"",IF($C64-'[1]Ins(O)'!$E$56=0,'[1]Ins(O)'!$E$55,0),"")</f>
        <v>#VALUE!</v>
      </c>
      <c r="AI64" s="92" t="e">
        <f>IF($C64&lt;&gt;"",IF($C64-'[1]Ins(O)'!$F$56=0,'[1]Ins(O)'!$F$55,0),"")</f>
        <v>#VALUE!</v>
      </c>
      <c r="AJ64" s="92" t="e">
        <f>IF($C64&lt;&gt;"",IF($C64-'[1]Ins(O)'!$G$56=0,'[1]Ins(O)'!$G$55,0),"")</f>
        <v>#VALUE!</v>
      </c>
      <c r="AK64" s="92" t="e">
        <f>IF($C64&lt;&gt;"",IF($C64-'[1]Ins(O)'!$H$56=0,'[1]Ins(O)'!$H$55,0),"")</f>
        <v>#VALUE!</v>
      </c>
      <c r="AL64" s="92" t="e">
        <f>IF($C64&lt;&gt;"",IF($C64-'[1]Ins(O)'!$C$94=0,'[1]Ins(O)'!$C$93,0),"")</f>
        <v>#VALUE!</v>
      </c>
      <c r="AM64" s="92" t="e">
        <f>IF($C64&lt;&gt;"",IF($C64-'[1]Ins(O)'!$D$94=0,'[1]Ins(O)'!$D$93,0),"")</f>
        <v>#VALUE!</v>
      </c>
      <c r="AN64" s="92" t="e">
        <f>IF($C64&lt;&gt;"",IF($C64-'[1]Ins(O)'!$E$94=0,'[1]Ins(O)'!$E$93,0),"")</f>
        <v>#VALUE!</v>
      </c>
      <c r="AO64" s="92" t="e">
        <f>IF($C64&lt;&gt;"",IF($C64-'[1]Ins(O)'!$F$94=0,'[1]Ins(O)'!$F$93,0),"")</f>
        <v>#VALUE!</v>
      </c>
      <c r="AP64" s="92" t="e">
        <f>IF($C64&lt;&gt;"",IF($C64-'[1]Ins(O)'!$G$94=0,'[1]Ins(O)'!$G$93,0),"")</f>
        <v>#VALUE!</v>
      </c>
      <c r="AQ64" s="92" t="e">
        <f>IF($C64&lt;&gt;"",IF($C64-'[1]Ins(O)'!$H$94=0,'[1]Ins(O)'!$H$93,0),"")</f>
        <v>#VALUE!</v>
      </c>
      <c r="AS64" s="92" t="e">
        <v>#VALUE!</v>
      </c>
      <c r="AT64" s="92" t="e">
        <v>#VALUE!</v>
      </c>
      <c r="AU64" s="92" t="e">
        <v>#VALUE!</v>
      </c>
      <c r="AV64" s="92" t="e">
        <v>#VALUE!</v>
      </c>
      <c r="AW64" s="92" t="e">
        <v>#VALUE!</v>
      </c>
      <c r="AX64" s="92" t="e">
        <v>#VALUE!</v>
      </c>
      <c r="AY64" s="92" t="e">
        <v>#VALUE!</v>
      </c>
      <c r="AZ64" s="92" t="e">
        <v>#VALUE!</v>
      </c>
      <c r="BA64" s="92" t="e">
        <v>#VALUE!</v>
      </c>
      <c r="BB64" s="92" t="e">
        <v>#VALUE!</v>
      </c>
      <c r="BC64" s="92" t="e">
        <v>#VALUE!</v>
      </c>
      <c r="BD64" s="92" t="e">
        <v>#VALUE!</v>
      </c>
      <c r="BE64" s="92" t="e">
        <v>#VALUE!</v>
      </c>
      <c r="BF64" s="92" t="e">
        <v>#VALUE!</v>
      </c>
      <c r="BG64" s="92" t="e">
        <v>#VALUE!</v>
      </c>
      <c r="BH64" s="92" t="e">
        <v>#VALUE!</v>
      </c>
      <c r="BI64" s="92" t="e">
        <v>#VALUE!</v>
      </c>
      <c r="BJ64" s="92" t="e">
        <v>#VALUE!</v>
      </c>
      <c r="BN64" s="107"/>
      <c r="BP64" s="107">
        <v>32</v>
      </c>
      <c r="CB64" s="134" t="e">
        <f t="shared" si="4"/>
        <v>#VALUE!</v>
      </c>
      <c r="CC64" s="142" t="e">
        <f t="shared" si="5"/>
        <v>#VALUE!</v>
      </c>
      <c r="CD64" s="142" t="e">
        <f t="shared" si="6"/>
        <v>#VALUE!</v>
      </c>
    </row>
    <row r="65" ht="15" customHeight="1" spans="3:68">
      <c r="C65" s="143" t="e">
        <f>IF($C64&lt;&gt;"",IF($H64&gt;0,$C$36+29,""),"")</f>
        <v>#VALUE!</v>
      </c>
      <c r="D65" s="61" t="e">
        <f t="shared" si="8"/>
        <v>#VALUE!</v>
      </c>
      <c r="E65" s="67"/>
      <c r="F65" s="68" t="e">
        <f t="shared" si="9"/>
        <v>#VALUE!</v>
      </c>
      <c r="G65" s="69" t="e">
        <f t="shared" si="10"/>
        <v>#VALUE!</v>
      </c>
      <c r="H65" s="70" t="e">
        <f t="shared" si="2"/>
        <v>#VALUE!</v>
      </c>
      <c r="Y65" s="92" t="e">
        <f t="shared" si="3"/>
        <v>#VALUE!</v>
      </c>
      <c r="Z65" s="92" t="e">
        <v>#VALUE!</v>
      </c>
      <c r="AA65" s="92" t="e">
        <v>#VALUE!</v>
      </c>
      <c r="AB65" s="92" t="e">
        <v>#VALUE!</v>
      </c>
      <c r="AC65" s="92" t="e">
        <v>#VALUE!</v>
      </c>
      <c r="AD65" s="92" t="e">
        <v>#VALUE!</v>
      </c>
      <c r="AE65" s="92" t="e">
        <v>#VALUE!</v>
      </c>
      <c r="AF65" s="92" t="e">
        <f>IF($C65&lt;&gt;"",IF($C65-'[1]Ins(O)'!$C$56=0,'[1]Ins(O)'!$C$55,0),"")</f>
        <v>#VALUE!</v>
      </c>
      <c r="AG65" s="92" t="e">
        <f>IF($C65&lt;&gt;"",IF($C65-'[1]Ins(O)'!$D$56=0,'[1]Ins(O)'!$D$55,0),"")</f>
        <v>#VALUE!</v>
      </c>
      <c r="AH65" s="92" t="e">
        <f>IF($C65&lt;&gt;"",IF($C65-'[1]Ins(O)'!$E$56=0,'[1]Ins(O)'!$E$55,0),"")</f>
        <v>#VALUE!</v>
      </c>
      <c r="AI65" s="92" t="e">
        <f>IF($C65&lt;&gt;"",IF($C65-'[1]Ins(O)'!$F$56=0,'[1]Ins(O)'!$F$55,0),"")</f>
        <v>#VALUE!</v>
      </c>
      <c r="AJ65" s="92" t="e">
        <f>IF($C65&lt;&gt;"",IF($C65-'[1]Ins(O)'!$G$56=0,'[1]Ins(O)'!$G$55,0),"")</f>
        <v>#VALUE!</v>
      </c>
      <c r="AK65" s="92" t="e">
        <f>IF($C65&lt;&gt;"",IF($C65-'[1]Ins(O)'!$H$56=0,'[1]Ins(O)'!$H$55,0),"")</f>
        <v>#VALUE!</v>
      </c>
      <c r="AL65" s="92" t="e">
        <f>IF($C65&lt;&gt;"",IF($C65-'[1]Ins(O)'!$C$94=0,'[1]Ins(O)'!$C$93,0),"")</f>
        <v>#VALUE!</v>
      </c>
      <c r="AM65" s="92" t="e">
        <f>IF($C65&lt;&gt;"",IF($C65-'[1]Ins(O)'!$D$94=0,'[1]Ins(O)'!$D$93,0),"")</f>
        <v>#VALUE!</v>
      </c>
      <c r="AN65" s="92" t="e">
        <f>IF($C65&lt;&gt;"",IF($C65-'[1]Ins(O)'!$E$94=0,'[1]Ins(O)'!$E$93,0),"")</f>
        <v>#VALUE!</v>
      </c>
      <c r="AO65" s="92" t="e">
        <f>IF($C65&lt;&gt;"",IF($C65-'[1]Ins(O)'!$F$94=0,'[1]Ins(O)'!$F$93,0),"")</f>
        <v>#VALUE!</v>
      </c>
      <c r="AP65" s="92" t="e">
        <f>IF($C65&lt;&gt;"",IF($C65-'[1]Ins(O)'!$G$94=0,'[1]Ins(O)'!$G$93,0),"")</f>
        <v>#VALUE!</v>
      </c>
      <c r="AQ65" s="92" t="e">
        <f>IF($C65&lt;&gt;"",IF($C65-'[1]Ins(O)'!$H$94=0,'[1]Ins(O)'!$H$93,0),"")</f>
        <v>#VALUE!</v>
      </c>
      <c r="AS65" s="92" t="e">
        <v>#VALUE!</v>
      </c>
      <c r="AT65" s="92" t="e">
        <v>#VALUE!</v>
      </c>
      <c r="AU65" s="92" t="e">
        <v>#VALUE!</v>
      </c>
      <c r="AV65" s="92" t="e">
        <v>#VALUE!</v>
      </c>
      <c r="AW65" s="92" t="e">
        <v>#VALUE!</v>
      </c>
      <c r="AX65" s="92" t="e">
        <v>#VALUE!</v>
      </c>
      <c r="AY65" s="92" t="e">
        <v>#VALUE!</v>
      </c>
      <c r="AZ65" s="92" t="e">
        <v>#VALUE!</v>
      </c>
      <c r="BA65" s="92" t="e">
        <v>#VALUE!</v>
      </c>
      <c r="BB65" s="92" t="e">
        <v>#VALUE!</v>
      </c>
      <c r="BC65" s="92" t="e">
        <v>#VALUE!</v>
      </c>
      <c r="BD65" s="92" t="e">
        <v>#VALUE!</v>
      </c>
      <c r="BE65" s="92" t="e">
        <v>#VALUE!</v>
      </c>
      <c r="BF65" s="92" t="e">
        <v>#VALUE!</v>
      </c>
      <c r="BG65" s="92" t="e">
        <v>#VALUE!</v>
      </c>
      <c r="BH65" s="92" t="e">
        <v>#VALUE!</v>
      </c>
      <c r="BI65" s="92" t="e">
        <v>#VALUE!</v>
      </c>
      <c r="BJ65" s="92" t="e">
        <v>#VALUE!</v>
      </c>
      <c r="BN65" s="107"/>
      <c r="BP65" s="107">
        <v>33</v>
      </c>
    </row>
    <row r="66" ht="15" customHeight="1" spans="3:68">
      <c r="C66" s="143" t="e">
        <f>IF($C65&lt;&gt;"",IF($H65&gt;0,$C$36+30,""),"")</f>
        <v>#VALUE!</v>
      </c>
      <c r="D66" s="61" t="e">
        <f t="shared" si="8"/>
        <v>#VALUE!</v>
      </c>
      <c r="E66" s="67"/>
      <c r="F66" s="68" t="e">
        <f t="shared" si="9"/>
        <v>#VALUE!</v>
      </c>
      <c r="G66" s="69" t="e">
        <f t="shared" si="10"/>
        <v>#VALUE!</v>
      </c>
      <c r="H66" s="70" t="e">
        <f t="shared" si="2"/>
        <v>#VALUE!</v>
      </c>
      <c r="Y66" s="92" t="e">
        <f t="shared" si="3"/>
        <v>#VALUE!</v>
      </c>
      <c r="Z66" s="92" t="e">
        <v>#VALUE!</v>
      </c>
      <c r="AA66" s="92" t="e">
        <v>#VALUE!</v>
      </c>
      <c r="AB66" s="92" t="e">
        <v>#VALUE!</v>
      </c>
      <c r="AC66" s="92" t="e">
        <v>#VALUE!</v>
      </c>
      <c r="AD66" s="92" t="e">
        <v>#VALUE!</v>
      </c>
      <c r="AE66" s="92" t="e">
        <v>#VALUE!</v>
      </c>
      <c r="AF66" s="92" t="e">
        <f>IF($C66&lt;&gt;"",IF($C66-'[1]Ins(O)'!$C$56=0,'[1]Ins(O)'!$C$55,0),"")</f>
        <v>#VALUE!</v>
      </c>
      <c r="AG66" s="92" t="e">
        <f>IF($C66&lt;&gt;"",IF($C66-'[1]Ins(O)'!$D$56=0,'[1]Ins(O)'!$D$55,0),"")</f>
        <v>#VALUE!</v>
      </c>
      <c r="AH66" s="92" t="e">
        <f>IF($C66&lt;&gt;"",IF($C66-'[1]Ins(O)'!$E$56=0,'[1]Ins(O)'!$E$55,0),"")</f>
        <v>#VALUE!</v>
      </c>
      <c r="AI66" s="92" t="e">
        <f>IF($C66&lt;&gt;"",IF($C66-'[1]Ins(O)'!$F$56=0,'[1]Ins(O)'!$F$55,0),"")</f>
        <v>#VALUE!</v>
      </c>
      <c r="AJ66" s="92" t="e">
        <f>IF($C66&lt;&gt;"",IF($C66-'[1]Ins(O)'!$G$56=0,'[1]Ins(O)'!$G$55,0),"")</f>
        <v>#VALUE!</v>
      </c>
      <c r="AK66" s="92" t="e">
        <f>IF($C66&lt;&gt;"",IF($C66-'[1]Ins(O)'!$H$56=0,'[1]Ins(O)'!$H$55,0),"")</f>
        <v>#VALUE!</v>
      </c>
      <c r="AL66" s="92" t="e">
        <f>IF($C66&lt;&gt;"",IF($C66-'[1]Ins(O)'!$C$94=0,'[1]Ins(O)'!$C$93,0),"")</f>
        <v>#VALUE!</v>
      </c>
      <c r="AM66" s="92" t="e">
        <f>IF($C66&lt;&gt;"",IF($C66-'[1]Ins(O)'!$D$94=0,'[1]Ins(O)'!$D$93,0),"")</f>
        <v>#VALUE!</v>
      </c>
      <c r="AN66" s="92" t="e">
        <f>IF($C66&lt;&gt;"",IF($C66-'[1]Ins(O)'!$E$94=0,'[1]Ins(O)'!$E$93,0),"")</f>
        <v>#VALUE!</v>
      </c>
      <c r="AO66" s="92" t="e">
        <f>IF($C66&lt;&gt;"",IF($C66-'[1]Ins(O)'!$F$94=0,'[1]Ins(O)'!$F$93,0),"")</f>
        <v>#VALUE!</v>
      </c>
      <c r="AP66" s="92" t="e">
        <f>IF($C66&lt;&gt;"",IF($C66-'[1]Ins(O)'!$G$94=0,'[1]Ins(O)'!$G$93,0),"")</f>
        <v>#VALUE!</v>
      </c>
      <c r="AQ66" s="92" t="e">
        <f>IF($C66&lt;&gt;"",IF($C66-'[1]Ins(O)'!$H$94=0,'[1]Ins(O)'!$H$93,0),"")</f>
        <v>#VALUE!</v>
      </c>
      <c r="AS66" s="92" t="e">
        <v>#VALUE!</v>
      </c>
      <c r="AT66" s="92" t="e">
        <v>#VALUE!</v>
      </c>
      <c r="AU66" s="92" t="e">
        <v>#VALUE!</v>
      </c>
      <c r="AV66" s="92" t="e">
        <v>#VALUE!</v>
      </c>
      <c r="AW66" s="92" t="e">
        <v>#VALUE!</v>
      </c>
      <c r="AX66" s="92" t="e">
        <v>#VALUE!</v>
      </c>
      <c r="AY66" s="92" t="e">
        <v>#VALUE!</v>
      </c>
      <c r="AZ66" s="92" t="e">
        <v>#VALUE!</v>
      </c>
      <c r="BA66" s="92" t="e">
        <v>#VALUE!</v>
      </c>
      <c r="BB66" s="92" t="e">
        <v>#VALUE!</v>
      </c>
      <c r="BC66" s="92" t="e">
        <v>#VALUE!</v>
      </c>
      <c r="BD66" s="92" t="e">
        <v>#VALUE!</v>
      </c>
      <c r="BE66" s="92" t="e">
        <v>#VALUE!</v>
      </c>
      <c r="BF66" s="92" t="e">
        <v>#VALUE!</v>
      </c>
      <c r="BG66" s="92" t="e">
        <v>#VALUE!</v>
      </c>
      <c r="BH66" s="92" t="e">
        <v>#VALUE!</v>
      </c>
      <c r="BI66" s="92" t="e">
        <v>#VALUE!</v>
      </c>
      <c r="BJ66" s="92" t="e">
        <v>#VALUE!</v>
      </c>
      <c r="BN66" s="107"/>
      <c r="BP66" s="107">
        <v>34</v>
      </c>
    </row>
    <row r="67" ht="15" customHeight="1" spans="3:68">
      <c r="C67" s="143" t="e">
        <f>IF($C66&lt;&gt;"",IF($H66&gt;0,$C$36+31,""),"")</f>
        <v>#VALUE!</v>
      </c>
      <c r="D67" s="61" t="e">
        <f t="shared" si="8"/>
        <v>#VALUE!</v>
      </c>
      <c r="E67" s="67"/>
      <c r="F67" s="68" t="e">
        <f t="shared" si="9"/>
        <v>#VALUE!</v>
      </c>
      <c r="G67" s="69" t="e">
        <f t="shared" si="10"/>
        <v>#VALUE!</v>
      </c>
      <c r="H67" s="70" t="e">
        <f t="shared" si="2"/>
        <v>#VALUE!</v>
      </c>
      <c r="Y67" s="92" t="e">
        <f t="shared" si="3"/>
        <v>#VALUE!</v>
      </c>
      <c r="Z67" s="92" t="e">
        <v>#VALUE!</v>
      </c>
      <c r="AA67" s="92" t="e">
        <v>#VALUE!</v>
      </c>
      <c r="AB67" s="92" t="e">
        <v>#VALUE!</v>
      </c>
      <c r="AC67" s="92" t="e">
        <v>#VALUE!</v>
      </c>
      <c r="AD67" s="92" t="e">
        <v>#VALUE!</v>
      </c>
      <c r="AE67" s="92" t="e">
        <v>#VALUE!</v>
      </c>
      <c r="AF67" s="92" t="e">
        <f>IF($C67&lt;&gt;"",IF($C67-'[1]Ins(O)'!$C$56=0,'[1]Ins(O)'!$C$55,0),"")</f>
        <v>#VALUE!</v>
      </c>
      <c r="AG67" s="92" t="e">
        <f>IF($C67&lt;&gt;"",IF($C67-'[1]Ins(O)'!$D$56=0,'[1]Ins(O)'!$D$55,0),"")</f>
        <v>#VALUE!</v>
      </c>
      <c r="AH67" s="92" t="e">
        <f>IF($C67&lt;&gt;"",IF($C67-'[1]Ins(O)'!$E$56=0,'[1]Ins(O)'!$E$55,0),"")</f>
        <v>#VALUE!</v>
      </c>
      <c r="AI67" s="92" t="e">
        <f>IF($C67&lt;&gt;"",IF($C67-'[1]Ins(O)'!$F$56=0,'[1]Ins(O)'!$F$55,0),"")</f>
        <v>#VALUE!</v>
      </c>
      <c r="AJ67" s="92" t="e">
        <f>IF($C67&lt;&gt;"",IF($C67-'[1]Ins(O)'!$G$56=0,'[1]Ins(O)'!$G$55,0),"")</f>
        <v>#VALUE!</v>
      </c>
      <c r="AK67" s="92" t="e">
        <f>IF($C67&lt;&gt;"",IF($C67-'[1]Ins(O)'!$H$56=0,'[1]Ins(O)'!$H$55,0),"")</f>
        <v>#VALUE!</v>
      </c>
      <c r="AL67" s="92" t="e">
        <f>IF($C67&lt;&gt;"",IF($C67-'[1]Ins(O)'!$C$94=0,'[1]Ins(O)'!$C$93,0),"")</f>
        <v>#VALUE!</v>
      </c>
      <c r="AM67" s="92" t="e">
        <f>IF($C67&lt;&gt;"",IF($C67-'[1]Ins(O)'!$D$94=0,'[1]Ins(O)'!$D$93,0),"")</f>
        <v>#VALUE!</v>
      </c>
      <c r="AN67" s="92" t="e">
        <f>IF($C67&lt;&gt;"",IF($C67-'[1]Ins(O)'!$E$94=0,'[1]Ins(O)'!$E$93,0),"")</f>
        <v>#VALUE!</v>
      </c>
      <c r="AO67" s="92" t="e">
        <f>IF($C67&lt;&gt;"",IF($C67-'[1]Ins(O)'!$F$94=0,'[1]Ins(O)'!$F$93,0),"")</f>
        <v>#VALUE!</v>
      </c>
      <c r="AP67" s="92" t="e">
        <f>IF($C67&lt;&gt;"",IF($C67-'[1]Ins(O)'!$G$94=0,'[1]Ins(O)'!$G$93,0),"")</f>
        <v>#VALUE!</v>
      </c>
      <c r="AQ67" s="92" t="e">
        <f>IF($C67&lt;&gt;"",IF($C67-'[1]Ins(O)'!$H$94=0,'[1]Ins(O)'!$H$93,0),"")</f>
        <v>#VALUE!</v>
      </c>
      <c r="AS67" s="92" t="e">
        <v>#VALUE!</v>
      </c>
      <c r="AT67" s="92" t="e">
        <v>#VALUE!</v>
      </c>
      <c r="AU67" s="92" t="e">
        <v>#VALUE!</v>
      </c>
      <c r="AV67" s="92" t="e">
        <v>#VALUE!</v>
      </c>
      <c r="AW67" s="92" t="e">
        <v>#VALUE!</v>
      </c>
      <c r="AX67" s="92" t="e">
        <v>#VALUE!</v>
      </c>
      <c r="AY67" s="92" t="e">
        <v>#VALUE!</v>
      </c>
      <c r="AZ67" s="92" t="e">
        <v>#VALUE!</v>
      </c>
      <c r="BA67" s="92" t="e">
        <v>#VALUE!</v>
      </c>
      <c r="BB67" s="92" t="e">
        <v>#VALUE!</v>
      </c>
      <c r="BC67" s="92" t="e">
        <v>#VALUE!</v>
      </c>
      <c r="BD67" s="92" t="e">
        <v>#VALUE!</v>
      </c>
      <c r="BE67" s="92" t="e">
        <v>#VALUE!</v>
      </c>
      <c r="BF67" s="92" t="e">
        <v>#VALUE!</v>
      </c>
      <c r="BG67" s="92" t="e">
        <v>#VALUE!</v>
      </c>
      <c r="BH67" s="92" t="e">
        <v>#VALUE!</v>
      </c>
      <c r="BI67" s="92" t="e">
        <v>#VALUE!</v>
      </c>
      <c r="BJ67" s="92" t="e">
        <v>#VALUE!</v>
      </c>
      <c r="BN67" s="107"/>
      <c r="BP67" s="107">
        <v>35</v>
      </c>
    </row>
    <row r="68" ht="15" customHeight="1" spans="3:68">
      <c r="C68" s="144" t="e">
        <f>IF($C67&lt;&gt;"",IF($H67&gt;0,$C$36+32,""),"")</f>
        <v>#VALUE!</v>
      </c>
      <c r="D68" s="61" t="e">
        <f t="shared" si="8"/>
        <v>#VALUE!</v>
      </c>
      <c r="E68" s="67"/>
      <c r="F68" s="68" t="e">
        <f t="shared" si="9"/>
        <v>#VALUE!</v>
      </c>
      <c r="G68" s="73" t="e">
        <f t="shared" si="10"/>
        <v>#VALUE!</v>
      </c>
      <c r="H68" s="70" t="e">
        <f t="shared" si="2"/>
        <v>#VALUE!</v>
      </c>
      <c r="Y68" s="92" t="e">
        <f t="shared" si="3"/>
        <v>#VALUE!</v>
      </c>
      <c r="Z68" s="92" t="e">
        <v>#VALUE!</v>
      </c>
      <c r="AA68" s="92" t="e">
        <v>#VALUE!</v>
      </c>
      <c r="AB68" s="92" t="e">
        <v>#VALUE!</v>
      </c>
      <c r="AC68" s="92" t="e">
        <v>#VALUE!</v>
      </c>
      <c r="AD68" s="92" t="e">
        <v>#VALUE!</v>
      </c>
      <c r="AE68" s="92" t="e">
        <v>#VALUE!</v>
      </c>
      <c r="AF68" s="92" t="e">
        <f>IF($C68&lt;&gt;"",IF($C68-'[1]Ins(O)'!$C$56=0,'[1]Ins(O)'!$C$55,0),"")</f>
        <v>#VALUE!</v>
      </c>
      <c r="AG68" s="92" t="e">
        <f>IF($C68&lt;&gt;"",IF($C68-'[1]Ins(O)'!$D$56=0,'[1]Ins(O)'!$D$55,0),"")</f>
        <v>#VALUE!</v>
      </c>
      <c r="AH68" s="92" t="e">
        <f>IF($C68&lt;&gt;"",IF($C68-'[1]Ins(O)'!$E$56=0,'[1]Ins(O)'!$E$55,0),"")</f>
        <v>#VALUE!</v>
      </c>
      <c r="AI68" s="92" t="e">
        <f>IF($C68&lt;&gt;"",IF($C68-'[1]Ins(O)'!$F$56=0,'[1]Ins(O)'!$F$55,0),"")</f>
        <v>#VALUE!</v>
      </c>
      <c r="AJ68" s="92" t="e">
        <f>IF($C68&lt;&gt;"",IF($C68-'[1]Ins(O)'!$G$56=0,'[1]Ins(O)'!$G$55,0),"")</f>
        <v>#VALUE!</v>
      </c>
      <c r="AK68" s="92" t="e">
        <f>IF($C68&lt;&gt;"",IF($C68-'[1]Ins(O)'!$H$56=0,'[1]Ins(O)'!$H$55,0),"")</f>
        <v>#VALUE!</v>
      </c>
      <c r="AL68" s="92" t="e">
        <f>IF($C68&lt;&gt;"",IF($C68-'[1]Ins(O)'!$C$94=0,'[1]Ins(O)'!$C$93,0),"")</f>
        <v>#VALUE!</v>
      </c>
      <c r="AM68" s="92" t="e">
        <f>IF($C68&lt;&gt;"",IF($C68-'[1]Ins(O)'!$D$94=0,'[1]Ins(O)'!$D$93,0),"")</f>
        <v>#VALUE!</v>
      </c>
      <c r="AN68" s="92" t="e">
        <f>IF($C68&lt;&gt;"",IF($C68-'[1]Ins(O)'!$E$94=0,'[1]Ins(O)'!$E$93,0),"")</f>
        <v>#VALUE!</v>
      </c>
      <c r="AO68" s="92" t="e">
        <f>IF($C68&lt;&gt;"",IF($C68-'[1]Ins(O)'!$F$94=0,'[1]Ins(O)'!$F$93,0),"")</f>
        <v>#VALUE!</v>
      </c>
      <c r="AP68" s="92" t="e">
        <f>IF($C68&lt;&gt;"",IF($C68-'[1]Ins(O)'!$G$94=0,'[1]Ins(O)'!$G$93,0),"")</f>
        <v>#VALUE!</v>
      </c>
      <c r="AQ68" s="92" t="e">
        <f>IF($C68&lt;&gt;"",IF($C68-'[1]Ins(O)'!$H$94=0,'[1]Ins(O)'!$H$93,0),"")</f>
        <v>#VALUE!</v>
      </c>
      <c r="AS68" s="92" t="e">
        <v>#VALUE!</v>
      </c>
      <c r="AT68" s="92" t="e">
        <v>#VALUE!</v>
      </c>
      <c r="AU68" s="92" t="e">
        <v>#VALUE!</v>
      </c>
      <c r="AV68" s="92" t="e">
        <v>#VALUE!</v>
      </c>
      <c r="AW68" s="92" t="e">
        <v>#VALUE!</v>
      </c>
      <c r="AX68" s="92" t="e">
        <v>#VALUE!</v>
      </c>
      <c r="AY68" s="92" t="e">
        <v>#VALUE!</v>
      </c>
      <c r="AZ68" s="92" t="e">
        <v>#VALUE!</v>
      </c>
      <c r="BA68" s="92" t="e">
        <v>#VALUE!</v>
      </c>
      <c r="BB68" s="92" t="e">
        <v>#VALUE!</v>
      </c>
      <c r="BC68" s="92" t="e">
        <v>#VALUE!</v>
      </c>
      <c r="BD68" s="92" t="e">
        <v>#VALUE!</v>
      </c>
      <c r="BE68" s="92" t="e">
        <v>#VALUE!</v>
      </c>
      <c r="BF68" s="92" t="e">
        <v>#VALUE!</v>
      </c>
      <c r="BG68" s="92" t="e">
        <v>#VALUE!</v>
      </c>
      <c r="BH68" s="92" t="e">
        <v>#VALUE!</v>
      </c>
      <c r="BI68" s="92" t="e">
        <v>#VALUE!</v>
      </c>
      <c r="BJ68" s="92" t="e">
        <v>#VALUE!</v>
      </c>
      <c r="BN68" s="107"/>
      <c r="BP68" s="107">
        <v>36</v>
      </c>
    </row>
    <row r="69" ht="15" customHeight="1" spans="3:68">
      <c r="C69" s="143" t="e">
        <f>IF($C68&lt;&gt;"",IF($H68&gt;0,$C$36+33,""),"")</f>
        <v>#VALUE!</v>
      </c>
      <c r="D69" s="61" t="e">
        <f t="shared" si="8"/>
        <v>#VALUE!</v>
      </c>
      <c r="E69" s="67"/>
      <c r="F69" s="68" t="e">
        <f t="shared" si="9"/>
        <v>#VALUE!</v>
      </c>
      <c r="G69" s="69" t="e">
        <f t="shared" si="10"/>
        <v>#VALUE!</v>
      </c>
      <c r="H69" s="70" t="e">
        <f t="shared" si="2"/>
        <v>#VALUE!</v>
      </c>
      <c r="Y69" s="92" t="e">
        <f t="shared" si="3"/>
        <v>#VALUE!</v>
      </c>
      <c r="Z69" s="92" t="e">
        <v>#VALUE!</v>
      </c>
      <c r="AA69" s="92" t="e">
        <v>#VALUE!</v>
      </c>
      <c r="AB69" s="92" t="e">
        <v>#VALUE!</v>
      </c>
      <c r="AC69" s="92" t="e">
        <v>#VALUE!</v>
      </c>
      <c r="AD69" s="92" t="e">
        <v>#VALUE!</v>
      </c>
      <c r="AE69" s="92" t="e">
        <v>#VALUE!</v>
      </c>
      <c r="AF69" s="92" t="e">
        <f>IF($C69&lt;&gt;"",IF($C69-'[1]Ins(O)'!$C$56=0,'[1]Ins(O)'!$C$55,0),"")</f>
        <v>#VALUE!</v>
      </c>
      <c r="AG69" s="92" t="e">
        <f>IF($C69&lt;&gt;"",IF($C69-'[1]Ins(O)'!$D$56=0,'[1]Ins(O)'!$D$55,0),"")</f>
        <v>#VALUE!</v>
      </c>
      <c r="AH69" s="92" t="e">
        <f>IF($C69&lt;&gt;"",IF($C69-'[1]Ins(O)'!$E$56=0,'[1]Ins(O)'!$E$55,0),"")</f>
        <v>#VALUE!</v>
      </c>
      <c r="AI69" s="92" t="e">
        <f>IF($C69&lt;&gt;"",IF($C69-'[1]Ins(O)'!$F$56=0,'[1]Ins(O)'!$F$55,0),"")</f>
        <v>#VALUE!</v>
      </c>
      <c r="AJ69" s="92" t="e">
        <f>IF($C69&lt;&gt;"",IF($C69-'[1]Ins(O)'!$G$56=0,'[1]Ins(O)'!$G$55,0),"")</f>
        <v>#VALUE!</v>
      </c>
      <c r="AK69" s="92" t="e">
        <f>IF($C69&lt;&gt;"",IF($C69-'[1]Ins(O)'!$H$56=0,'[1]Ins(O)'!$H$55,0),"")</f>
        <v>#VALUE!</v>
      </c>
      <c r="AL69" s="92" t="e">
        <f>IF($C69&lt;&gt;"",IF($C69-'[1]Ins(O)'!$C$94=0,'[1]Ins(O)'!$C$93,0),"")</f>
        <v>#VALUE!</v>
      </c>
      <c r="AM69" s="92" t="e">
        <f>IF($C69&lt;&gt;"",IF($C69-'[1]Ins(O)'!$D$94=0,'[1]Ins(O)'!$D$93,0),"")</f>
        <v>#VALUE!</v>
      </c>
      <c r="AN69" s="92" t="e">
        <f>IF($C69&lt;&gt;"",IF($C69-'[1]Ins(O)'!$E$94=0,'[1]Ins(O)'!$E$93,0),"")</f>
        <v>#VALUE!</v>
      </c>
      <c r="AO69" s="92" t="e">
        <f>IF($C69&lt;&gt;"",IF($C69-'[1]Ins(O)'!$F$94=0,'[1]Ins(O)'!$F$93,0),"")</f>
        <v>#VALUE!</v>
      </c>
      <c r="AP69" s="92" t="e">
        <f>IF($C69&lt;&gt;"",IF($C69-'[1]Ins(O)'!$G$94=0,'[1]Ins(O)'!$G$93,0),"")</f>
        <v>#VALUE!</v>
      </c>
      <c r="AQ69" s="92" t="e">
        <f>IF($C69&lt;&gt;"",IF($C69-'[1]Ins(O)'!$H$94=0,'[1]Ins(O)'!$H$93,0),"")</f>
        <v>#VALUE!</v>
      </c>
      <c r="AS69" s="92" t="e">
        <v>#VALUE!</v>
      </c>
      <c r="AT69" s="92" t="e">
        <v>#VALUE!</v>
      </c>
      <c r="AU69" s="92" t="e">
        <v>#VALUE!</v>
      </c>
      <c r="AV69" s="92" t="e">
        <v>#VALUE!</v>
      </c>
      <c r="AW69" s="92" t="e">
        <v>#VALUE!</v>
      </c>
      <c r="AX69" s="92" t="e">
        <v>#VALUE!</v>
      </c>
      <c r="AY69" s="92" t="e">
        <v>#VALUE!</v>
      </c>
      <c r="AZ69" s="92" t="e">
        <v>#VALUE!</v>
      </c>
      <c r="BA69" s="92" t="e">
        <v>#VALUE!</v>
      </c>
      <c r="BB69" s="92" t="e">
        <v>#VALUE!</v>
      </c>
      <c r="BC69" s="92" t="e">
        <v>#VALUE!</v>
      </c>
      <c r="BD69" s="92" t="e">
        <v>#VALUE!</v>
      </c>
      <c r="BE69" s="92" t="e">
        <v>#VALUE!</v>
      </c>
      <c r="BF69" s="92" t="e">
        <v>#VALUE!</v>
      </c>
      <c r="BG69" s="92" t="e">
        <v>#VALUE!</v>
      </c>
      <c r="BH69" s="92" t="e">
        <v>#VALUE!</v>
      </c>
      <c r="BI69" s="92" t="e">
        <v>#VALUE!</v>
      </c>
      <c r="BJ69" s="92" t="e">
        <v>#VALUE!</v>
      </c>
      <c r="BN69" s="107"/>
      <c r="BP69" s="107">
        <v>37</v>
      </c>
    </row>
    <row r="70" ht="15" customHeight="1" spans="3:68">
      <c r="C70" s="145" t="e">
        <f>IF($C69&lt;&gt;"",IF($H69&gt;0,$C$36+34,""),"")</f>
        <v>#VALUE!</v>
      </c>
      <c r="D70" s="61" t="e">
        <f t="shared" si="8"/>
        <v>#VALUE!</v>
      </c>
      <c r="E70" s="67"/>
      <c r="F70" s="68" t="e">
        <f t="shared" si="9"/>
        <v>#VALUE!</v>
      </c>
      <c r="G70" s="146" t="e">
        <f t="shared" si="10"/>
        <v>#VALUE!</v>
      </c>
      <c r="H70" s="70" t="e">
        <f t="shared" si="2"/>
        <v>#VALUE!</v>
      </c>
      <c r="Y70" s="92" t="e">
        <f t="shared" si="3"/>
        <v>#VALUE!</v>
      </c>
      <c r="Z70" s="92" t="e">
        <v>#VALUE!</v>
      </c>
      <c r="AA70" s="92" t="e">
        <v>#VALUE!</v>
      </c>
      <c r="AB70" s="92" t="e">
        <v>#VALUE!</v>
      </c>
      <c r="AC70" s="92" t="e">
        <v>#VALUE!</v>
      </c>
      <c r="AD70" s="92" t="e">
        <v>#VALUE!</v>
      </c>
      <c r="AE70" s="92" t="e">
        <v>#VALUE!</v>
      </c>
      <c r="AF70" s="92" t="e">
        <f>IF($C70&lt;&gt;"",IF($C70-'[1]Ins(O)'!$C$56=0,'[1]Ins(O)'!$C$55,0),"")</f>
        <v>#VALUE!</v>
      </c>
      <c r="AG70" s="92" t="e">
        <f>IF($C70&lt;&gt;"",IF($C70-'[1]Ins(O)'!$D$56=0,'[1]Ins(O)'!$D$55,0),"")</f>
        <v>#VALUE!</v>
      </c>
      <c r="AH70" s="92" t="e">
        <f>IF($C70&lt;&gt;"",IF($C70-'[1]Ins(O)'!$E$56=0,'[1]Ins(O)'!$E$55,0),"")</f>
        <v>#VALUE!</v>
      </c>
      <c r="AI70" s="92" t="e">
        <f>IF($C70&lt;&gt;"",IF($C70-'[1]Ins(O)'!$F$56=0,'[1]Ins(O)'!$F$55,0),"")</f>
        <v>#VALUE!</v>
      </c>
      <c r="AJ70" s="92" t="e">
        <f>IF($C70&lt;&gt;"",IF($C70-'[1]Ins(O)'!$G$56=0,'[1]Ins(O)'!$G$55,0),"")</f>
        <v>#VALUE!</v>
      </c>
      <c r="AK70" s="92" t="e">
        <f>IF($C70&lt;&gt;"",IF($C70-'[1]Ins(O)'!$H$56=0,'[1]Ins(O)'!$H$55,0),"")</f>
        <v>#VALUE!</v>
      </c>
      <c r="AL70" s="92" t="e">
        <f>IF($C70&lt;&gt;"",IF($C70-'[1]Ins(O)'!$C$94=0,'[1]Ins(O)'!$C$93,0),"")</f>
        <v>#VALUE!</v>
      </c>
      <c r="AM70" s="92" t="e">
        <f>IF($C70&lt;&gt;"",IF($C70-'[1]Ins(O)'!$D$94=0,'[1]Ins(O)'!$D$93,0),"")</f>
        <v>#VALUE!</v>
      </c>
      <c r="AN70" s="92" t="e">
        <f>IF($C70&lt;&gt;"",IF($C70-'[1]Ins(O)'!$E$94=0,'[1]Ins(O)'!$E$93,0),"")</f>
        <v>#VALUE!</v>
      </c>
      <c r="AO70" s="92" t="e">
        <f>IF($C70&lt;&gt;"",IF($C70-'[1]Ins(O)'!$F$94=0,'[1]Ins(O)'!$F$93,0),"")</f>
        <v>#VALUE!</v>
      </c>
      <c r="AP70" s="92" t="e">
        <f>IF($C70&lt;&gt;"",IF($C70-'[1]Ins(O)'!$G$94=0,'[1]Ins(O)'!$G$93,0),"")</f>
        <v>#VALUE!</v>
      </c>
      <c r="AQ70" s="92" t="e">
        <f>IF($C70&lt;&gt;"",IF($C70-'[1]Ins(O)'!$H$94=0,'[1]Ins(O)'!$H$93,0),"")</f>
        <v>#VALUE!</v>
      </c>
      <c r="AS70" s="92" t="e">
        <v>#VALUE!</v>
      </c>
      <c r="AT70" s="92" t="e">
        <v>#VALUE!</v>
      </c>
      <c r="AU70" s="92" t="e">
        <v>#VALUE!</v>
      </c>
      <c r="AV70" s="92" t="e">
        <v>#VALUE!</v>
      </c>
      <c r="AW70" s="92" t="e">
        <v>#VALUE!</v>
      </c>
      <c r="AX70" s="92" t="e">
        <v>#VALUE!</v>
      </c>
      <c r="AY70" s="92" t="e">
        <v>#VALUE!</v>
      </c>
      <c r="AZ70" s="92" t="e">
        <v>#VALUE!</v>
      </c>
      <c r="BA70" s="92" t="e">
        <v>#VALUE!</v>
      </c>
      <c r="BB70" s="92" t="e">
        <v>#VALUE!</v>
      </c>
      <c r="BC70" s="92" t="e">
        <v>#VALUE!</v>
      </c>
      <c r="BD70" s="92" t="e">
        <v>#VALUE!</v>
      </c>
      <c r="BE70" s="92" t="e">
        <v>#VALUE!</v>
      </c>
      <c r="BF70" s="92" t="e">
        <v>#VALUE!</v>
      </c>
      <c r="BG70" s="92" t="e">
        <v>#VALUE!</v>
      </c>
      <c r="BH70" s="92" t="e">
        <v>#VALUE!</v>
      </c>
      <c r="BI70" s="92" t="e">
        <v>#VALUE!</v>
      </c>
      <c r="BJ70" s="92" t="e">
        <v>#VALUE!</v>
      </c>
      <c r="BN70" s="107"/>
      <c r="BP70" s="107">
        <v>38</v>
      </c>
    </row>
    <row r="71" ht="15" customHeight="1" spans="3:68">
      <c r="C71" s="147" t="e">
        <f>IF($C70&lt;&gt;"",IF($H70&gt;0,$C$36+35,""),"")</f>
        <v>#VALUE!</v>
      </c>
      <c r="D71" s="148" t="e">
        <f t="shared" si="8"/>
        <v>#VALUE!</v>
      </c>
      <c r="E71" s="149"/>
      <c r="F71" s="150" t="e">
        <f t="shared" si="9"/>
        <v>#VALUE!</v>
      </c>
      <c r="G71" s="151" t="e">
        <f t="shared" si="10"/>
        <v>#VALUE!</v>
      </c>
      <c r="H71" s="152" t="e">
        <f t="shared" si="2"/>
        <v>#VALUE!</v>
      </c>
      <c r="Y71" s="92" t="e">
        <f t="shared" si="3"/>
        <v>#VALUE!</v>
      </c>
      <c r="Z71" s="92" t="e">
        <v>#VALUE!</v>
      </c>
      <c r="AA71" s="92" t="e">
        <v>#VALUE!</v>
      </c>
      <c r="AB71" s="92" t="e">
        <v>#VALUE!</v>
      </c>
      <c r="AC71" s="92" t="e">
        <v>#VALUE!</v>
      </c>
      <c r="AD71" s="92" t="e">
        <v>#VALUE!</v>
      </c>
      <c r="AE71" s="92" t="e">
        <v>#VALUE!</v>
      </c>
      <c r="AF71" s="92" t="e">
        <f>IF($C71&lt;&gt;"",IF($C71-'[1]Ins(O)'!$C$56=0,'[1]Ins(O)'!$C$55,0),"")</f>
        <v>#VALUE!</v>
      </c>
      <c r="AG71" s="92" t="e">
        <f>IF($C71&lt;&gt;"",IF($C71-'[1]Ins(O)'!$D$56=0,'[1]Ins(O)'!$D$55,0),"")</f>
        <v>#VALUE!</v>
      </c>
      <c r="AH71" s="92" t="e">
        <f>IF($C71&lt;&gt;"",IF($C71-'[1]Ins(O)'!$E$56=0,'[1]Ins(O)'!$E$55,0),"")</f>
        <v>#VALUE!</v>
      </c>
      <c r="AI71" s="92" t="e">
        <f>IF($C71&lt;&gt;"",IF($C71-'[1]Ins(O)'!$F$56=0,'[1]Ins(O)'!$F$55,0),"")</f>
        <v>#VALUE!</v>
      </c>
      <c r="AJ71" s="92" t="e">
        <f>IF($C71&lt;&gt;"",IF($C71-'[1]Ins(O)'!$G$56=0,'[1]Ins(O)'!$G$55,0),"")</f>
        <v>#VALUE!</v>
      </c>
      <c r="AK71" s="92" t="e">
        <f>IF($C71&lt;&gt;"",IF($C71-'[1]Ins(O)'!$H$56=0,'[1]Ins(O)'!$H$55,0),"")</f>
        <v>#VALUE!</v>
      </c>
      <c r="AL71" s="92" t="e">
        <f>IF($C71&lt;&gt;"",IF($C71-'[1]Ins(O)'!$C$94=0,'[1]Ins(O)'!$C$93,0),"")</f>
        <v>#VALUE!</v>
      </c>
      <c r="AM71" s="92" t="e">
        <f>IF($C71&lt;&gt;"",IF($C71-'[1]Ins(O)'!$D$94=0,'[1]Ins(O)'!$D$93,0),"")</f>
        <v>#VALUE!</v>
      </c>
      <c r="AN71" s="92" t="e">
        <f>IF($C71&lt;&gt;"",IF($C71-'[1]Ins(O)'!$E$94=0,'[1]Ins(O)'!$E$93,0),"")</f>
        <v>#VALUE!</v>
      </c>
      <c r="AO71" s="92" t="e">
        <f>IF($C71&lt;&gt;"",IF($C71-'[1]Ins(O)'!$F$94=0,'[1]Ins(O)'!$F$93,0),"")</f>
        <v>#VALUE!</v>
      </c>
      <c r="AP71" s="92" t="e">
        <f>IF($C71&lt;&gt;"",IF($C71-'[1]Ins(O)'!$G$94=0,'[1]Ins(O)'!$G$93,0),"")</f>
        <v>#VALUE!</v>
      </c>
      <c r="AQ71" s="92" t="e">
        <f>IF($C71&lt;&gt;"",IF($C71-'[1]Ins(O)'!$H$94=0,'[1]Ins(O)'!$H$93,0),"")</f>
        <v>#VALUE!</v>
      </c>
      <c r="AS71" s="92" t="e">
        <v>#VALUE!</v>
      </c>
      <c r="AT71" s="92" t="e">
        <v>#VALUE!</v>
      </c>
      <c r="AU71" s="92" t="e">
        <v>#VALUE!</v>
      </c>
      <c r="AV71" s="92" t="e">
        <v>#VALUE!</v>
      </c>
      <c r="AW71" s="92" t="e">
        <v>#VALUE!</v>
      </c>
      <c r="AX71" s="92" t="e">
        <v>#VALUE!</v>
      </c>
      <c r="AY71" s="92" t="e">
        <v>#VALUE!</v>
      </c>
      <c r="AZ71" s="92" t="e">
        <v>#VALUE!</v>
      </c>
      <c r="BA71" s="92" t="e">
        <v>#VALUE!</v>
      </c>
      <c r="BB71" s="92" t="e">
        <v>#VALUE!</v>
      </c>
      <c r="BC71" s="92" t="e">
        <v>#VALUE!</v>
      </c>
      <c r="BD71" s="92" t="e">
        <v>#VALUE!</v>
      </c>
      <c r="BE71" s="92" t="e">
        <v>#VALUE!</v>
      </c>
      <c r="BF71" s="92" t="e">
        <v>#VALUE!</v>
      </c>
      <c r="BG71" s="92" t="e">
        <v>#VALUE!</v>
      </c>
      <c r="BH71" s="92" t="e">
        <v>#VALUE!</v>
      </c>
      <c r="BI71" s="92" t="e">
        <v>#VALUE!</v>
      </c>
      <c r="BJ71" s="92" t="e">
        <v>#VALUE!</v>
      </c>
      <c r="BN71" s="107"/>
      <c r="BP71" s="107">
        <v>39</v>
      </c>
    </row>
    <row r="72" ht="16.5" customHeight="1" spans="4:68">
      <c r="D72" s="20"/>
      <c r="E72" s="153"/>
      <c r="F72" s="153"/>
      <c r="G72" s="153"/>
      <c r="H72" s="153"/>
      <c r="BN72" s="107"/>
      <c r="BP72" s="107">
        <v>40</v>
      </c>
    </row>
    <row r="73" ht="16.5" customHeight="1" spans="2:68">
      <c r="B73" s="154" t="s">
        <v>197</v>
      </c>
      <c r="C73" s="154"/>
      <c r="D73" s="154"/>
      <c r="E73" s="154"/>
      <c r="F73" s="154"/>
      <c r="G73" s="154"/>
      <c r="H73" s="154"/>
      <c r="I73" s="154"/>
      <c r="BN73" s="107"/>
      <c r="BP73" s="107">
        <v>41</v>
      </c>
    </row>
    <row r="74" ht="16.5" customHeight="1" spans="4:68">
      <c r="D74" s="20"/>
      <c r="E74" s="153"/>
      <c r="F74" s="153"/>
      <c r="G74" s="153"/>
      <c r="H74" s="153"/>
      <c r="BN74" s="107"/>
      <c r="BP74" s="107">
        <v>42</v>
      </c>
    </row>
    <row r="75" ht="16.5" customHeight="1" spans="4:68">
      <c r="D75" s="20"/>
      <c r="E75" s="153"/>
      <c r="F75" s="153"/>
      <c r="G75" s="153"/>
      <c r="H75" s="153"/>
      <c r="BN75" s="107"/>
      <c r="BP75" s="107">
        <v>43</v>
      </c>
    </row>
    <row r="76" ht="16.5" customHeight="1" spans="4:68">
      <c r="D76" s="125"/>
      <c r="E76" s="153"/>
      <c r="F76" s="153"/>
      <c r="G76" s="153"/>
      <c r="H76" s="153"/>
      <c r="BN76" s="107"/>
      <c r="BP76" s="107">
        <v>44</v>
      </c>
    </row>
    <row r="77" ht="16.5" customHeight="1" spans="4:68">
      <c r="D77" s="20"/>
      <c r="E77" s="153"/>
      <c r="F77" s="153"/>
      <c r="G77" s="153"/>
      <c r="H77" s="153"/>
      <c r="BN77" s="107"/>
      <c r="BP77" s="107">
        <v>45</v>
      </c>
    </row>
    <row r="78" ht="16.5" customHeight="1" spans="4:68">
      <c r="D78" s="20"/>
      <c r="E78" s="153"/>
      <c r="F78" s="153"/>
      <c r="G78" s="153"/>
      <c r="H78" s="153"/>
      <c r="BP78" s="107">
        <v>46</v>
      </c>
    </row>
    <row r="79" ht="16.5" customHeight="1" spans="4:68">
      <c r="D79" s="20"/>
      <c r="E79" s="153"/>
      <c r="F79" s="153"/>
      <c r="G79" s="153"/>
      <c r="H79" s="153"/>
      <c r="BP79" s="107">
        <v>47</v>
      </c>
    </row>
    <row r="80" ht="16.5" customHeight="1" spans="4:68">
      <c r="D80" s="20"/>
      <c r="E80" s="153"/>
      <c r="F80" s="153"/>
      <c r="G80" s="153"/>
      <c r="H80" s="153"/>
      <c r="BP80" s="107">
        <v>48</v>
      </c>
    </row>
    <row r="81" ht="16.5" customHeight="1" spans="4:68">
      <c r="D81" s="20"/>
      <c r="E81" s="153"/>
      <c r="F81" s="153"/>
      <c r="G81" s="153"/>
      <c r="H81" s="153"/>
      <c r="BP81" s="107">
        <v>49</v>
      </c>
    </row>
    <row r="82" ht="16.5" customHeight="1" spans="4:68">
      <c r="D82" s="20"/>
      <c r="E82" s="153"/>
      <c r="F82" s="153"/>
      <c r="G82" s="153"/>
      <c r="H82" s="153"/>
      <c r="BP82" s="107">
        <v>50</v>
      </c>
    </row>
    <row r="83" ht="16.5" customHeight="1" spans="4:8">
      <c r="D83" s="20"/>
      <c r="E83" s="153"/>
      <c r="F83" s="153"/>
      <c r="G83" s="153"/>
      <c r="H83" s="153"/>
    </row>
    <row r="84" ht="16.5" customHeight="1" spans="4:8">
      <c r="D84" s="20"/>
      <c r="E84" s="153"/>
      <c r="F84" s="153"/>
      <c r="G84" s="153"/>
      <c r="H84" s="153"/>
    </row>
    <row r="85" ht="16.5" customHeight="1" spans="4:8">
      <c r="D85" s="20"/>
      <c r="E85" s="153"/>
      <c r="F85" s="153"/>
      <c r="G85" s="153"/>
      <c r="H85" s="153"/>
    </row>
    <row r="86" ht="12" customHeight="1"/>
    <row r="87" ht="13.8"/>
    <row r="88" ht="12" customHeight="1"/>
    <row r="89" ht="13.8"/>
    <row r="90" ht="4.5" customHeight="1"/>
    <row r="91" ht="14.4" spans="4:4">
      <c r="D91" s="4"/>
    </row>
    <row r="92" customHeight="1" spans="4:4">
      <c r="D92" s="4"/>
    </row>
    <row r="93" customHeight="1" spans="4:4">
      <c r="D93" s="4"/>
    </row>
    <row r="94" customHeight="1" spans="4:4">
      <c r="D94" s="4"/>
    </row>
    <row r="95" customHeight="1" spans="4:4">
      <c r="D95" s="4"/>
    </row>
    <row r="96" customHeight="1" spans="4:4">
      <c r="D96" s="4"/>
    </row>
    <row r="97" ht="12" customHeight="1"/>
    <row r="98" ht="51" customHeight="1"/>
  </sheetData>
  <sheetProtection sheet="1" autoFilter="0" objects="1" scenarios="1"/>
  <protectedRanges>
    <protectedRange sqref="G35" name="Range3"/>
    <protectedRange sqref="D35" name="Range2"/>
    <protectedRange sqref="E36:E71" name="CASH FLOW IN OUT"/>
  </protectedRanges>
  <mergeCells count="51">
    <mergeCell ref="C1:J1"/>
    <mergeCell ref="G3:H3"/>
    <mergeCell ref="D14:F14"/>
    <mergeCell ref="B17:C17"/>
    <mergeCell ref="BQ24:BS24"/>
    <mergeCell ref="B30:I30"/>
    <mergeCell ref="K32:M32"/>
    <mergeCell ref="BK39:BN39"/>
    <mergeCell ref="B73:I73"/>
    <mergeCell ref="C32:C35"/>
    <mergeCell ref="D32:D34"/>
    <mergeCell ref="E32:E33"/>
    <mergeCell ref="F32:F35"/>
    <mergeCell ref="G32:G34"/>
    <mergeCell ref="H32:H35"/>
    <mergeCell ref="Z32:Z35"/>
    <mergeCell ref="AA32:AA35"/>
    <mergeCell ref="AB32:AB35"/>
    <mergeCell ref="AC32:AC35"/>
    <mergeCell ref="AD32:AD35"/>
    <mergeCell ref="AE32:AE35"/>
    <mergeCell ref="AF32:AF35"/>
    <mergeCell ref="AG32:AG35"/>
    <mergeCell ref="AH32:AH35"/>
    <mergeCell ref="AI32:AI35"/>
    <mergeCell ref="AJ32:AJ35"/>
    <mergeCell ref="AK32:AK35"/>
    <mergeCell ref="AL32:AL35"/>
    <mergeCell ref="AM32:AM35"/>
    <mergeCell ref="AN32:AN35"/>
    <mergeCell ref="AO32:AO35"/>
    <mergeCell ref="AP32:AP35"/>
    <mergeCell ref="AQ32:AQ35"/>
    <mergeCell ref="AS32:AS35"/>
    <mergeCell ref="AT32:AT35"/>
    <mergeCell ref="AU32:AU35"/>
    <mergeCell ref="AV32:AV35"/>
    <mergeCell ref="AW32:AW35"/>
    <mergeCell ref="AX32:AX35"/>
    <mergeCell ref="AY32:AY35"/>
    <mergeCell ref="AZ32:AZ35"/>
    <mergeCell ref="BA32:BA35"/>
    <mergeCell ref="BB32:BB35"/>
    <mergeCell ref="BC32:BC35"/>
    <mergeCell ref="BD32:BD35"/>
    <mergeCell ref="BE32:BE35"/>
    <mergeCell ref="BF32:BF35"/>
    <mergeCell ref="BG32:BG35"/>
    <mergeCell ref="BH32:BH35"/>
    <mergeCell ref="BI32:BI35"/>
    <mergeCell ref="BJ32:BJ35"/>
  </mergeCells>
  <conditionalFormatting sqref="CB36:CB64">
    <cfRule type="cellIs" dxfId="5" priority="1" operator="greaterThan">
      <formula>1</formula>
    </cfRule>
    <cfRule type="cellIs" dxfId="9" priority="4" operator="lessThanOrEqual">
      <formula>$G$21</formula>
    </cfRule>
    <cfRule type="cellIs" dxfId="5" priority="2" operator="between">
      <formula>0.201</formula>
      <formula>1</formula>
    </cfRule>
    <cfRule type="cellIs" dxfId="10" priority="3" operator="between">
      <formula>0.081</formula>
      <formula>0.2</formula>
    </cfRule>
  </conditionalFormatting>
  <dataValidations count="2">
    <dataValidation type="list" allowBlank="1" showInputMessage="1" showErrorMessage="1" sqref="D35">
      <formula1>'[1]T&amp;C'!$H$14:$P$14</formula1>
    </dataValidation>
    <dataValidation type="list" allowBlank="1" showInputMessage="1" showErrorMessage="1" sqref="G35">
      <formula1>'[1]User Manual'!$F$7:$F$12</formula1>
    </dataValidation>
  </dataValidations>
  <hyperlinks>
    <hyperlink ref="CA6" location="'T&amp;C'!A1" display="Terms and Codition"/>
    <hyperlink ref="CA7" location="ES!A1" display="Executive Summary"/>
    <hyperlink ref="CA8" location="'G&amp;O'!A1" display="Goals and Objective"/>
    <hyperlink ref="CA5" location="Index!A1" display="INDEX"/>
    <hyperlink ref="CA10" location="'ReT(O)'!A1" display="Real Estate (Own)"/>
    <hyperlink ref="CA11" location="'ReT(I)'!A1" display="Real Estate (Investment)"/>
    <hyperlink ref="CA12" location="BzT!A1" display="Business Table"/>
    <hyperlink ref="CA14" location="As!A1" display="Assets"/>
    <hyperlink ref="CA9" location="'Chapter 1'!A1" display="Chapter 1: Current Situation"/>
    <hyperlink ref="CA41" location="'FI 1'!A1" display="Financial Independence1"/>
    <hyperlink ref="CA42" location="'FI 2'!A1" display="Financial Independence2"/>
    <hyperlink ref="CA43" location="'FI 3'!A1" display="Financial Independence3"/>
    <hyperlink ref="CA44" location="'Pl(G&amp;O)'!A1" display="Action Plan (Goals &amp; Objectives)"/>
    <hyperlink ref="CA45" location="'Pl(CF)'!A1" display="Action Plan (Cash Flows Management)"/>
    <hyperlink ref="CA19" location="InsSUM!A1" display="Insurance Policy Summary"/>
    <hyperlink ref="CA20" location="CIF!A1" display="Cash In-Flow"/>
    <hyperlink ref="CA21" location="COF!A1" display="Cash Out-Flow"/>
    <hyperlink ref="CA22" location="NWA!A1" display="Net Worth Analysis"/>
    <hyperlink ref="CA23" location="'Chapter 2'!A1" display="Chapter 2: Analysis"/>
    <hyperlink ref="CA24" location="AsA!A1" display="Asset Analysis"/>
    <hyperlink ref="CA25" location="AsCh!A1" display="Asset Chart"/>
    <hyperlink ref="CA26" location="AsAl!A1" display="Asset Allocation"/>
    <hyperlink ref="CA27" location="PrR!A1" display="Property Investment Return"/>
    <hyperlink ref="CA28" location="LbCh!A1" display="Liability Chart"/>
    <hyperlink ref="CA29" location="CIFS!A1" display="Cash In-Flow Statement"/>
    <hyperlink ref="CA30" location="COFS!A1" display="Cash Out-Flow Statement"/>
    <hyperlink ref="CA31" location="'FR1'!A1" display="Financial Ratios (Liquidity &amp; Solvency Ratio)"/>
    <hyperlink ref="CA32" location="'FR2'!A1" display="Financial Ratios (Debt Ratio)"/>
    <hyperlink ref="CA33" location="FRS!A1" display="Financial Ratios Summary"/>
    <hyperlink ref="CA34" location="'Chapter 3'!A1" display="Chapter 3: Recommendation"/>
    <hyperlink ref="CA35" location="Liq!A1" display="Liquidity Fund"/>
    <hyperlink ref="CA36" location="Acc!A1" display="Accident Coverage"/>
    <hyperlink ref="CA37" location="Inc!A1" display="Income Protection for DPD"/>
    <hyperlink ref="CA38" location="DDC!A1" display="Dread Disease Coverage"/>
    <hyperlink ref="CA39" location="CE!A1" display="Children Education Planning"/>
    <hyperlink ref="CA40" location="CEF!A1" display="Children Education Choices"/>
    <hyperlink ref="CA15" location="Lb!A1" display="Liabilities"/>
    <hyperlink ref="CA16" location="'Ins(O)'!A1" display="Insurance Policy (Own)"/>
    <hyperlink ref="CA17" location="'Ins(S)'!A1" display="Insurance Policy (Spouse)"/>
    <hyperlink ref="CA18" location="'Ins(C)'!A1" display="Insurance Policy (Children)"/>
    <hyperlink ref="CA13" location="'Inv Rcrd'!A1" display="Investment Record"/>
  </hyperlinks>
  <printOptions horizontalCentered="1" verticalCentered="1"/>
  <pageMargins left="0.0393700787401575" right="0.0393700787401575" top="0" bottom="0" header="0.31496062992126" footer="0.31496062992126"/>
  <pageSetup paperSize="9" scale="79" orientation="landscape"/>
  <headerFooter alignWithMargins="0" scaleWithDoc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"/>
  <sheetViews>
    <sheetView workbookViewId="0">
      <selection activeCell="H22" sqref="H22"/>
    </sheetView>
  </sheetViews>
  <sheetFormatPr defaultColWidth="10" defaultRowHeight="13.8" outlineLevelRow="1"/>
  <cols>
    <col min="1" max="1" width="13.2962962962963" customWidth="1"/>
    <col min="2" max="2" width="17.1018518518519" customWidth="1"/>
    <col min="4" max="4" width="12.6018518518519" customWidth="1"/>
    <col min="5" max="5" width="7" customWidth="1"/>
    <col min="7" max="7" width="17" customWidth="1"/>
    <col min="8" max="8" width="22.2037037037037" customWidth="1"/>
    <col min="9" max="9" width="43.6018518518519" customWidth="1"/>
    <col min="10" max="10" width="9.89814814814815" customWidth="1"/>
  </cols>
  <sheetData>
    <row r="1" spans="1:11">
      <c r="A1" s="1" t="s">
        <v>0</v>
      </c>
      <c r="B1" s="1" t="s">
        <v>198</v>
      </c>
      <c r="C1" s="1" t="s">
        <v>199</v>
      </c>
      <c r="D1" s="1" t="s">
        <v>200</v>
      </c>
      <c r="E1" s="1" t="s">
        <v>77</v>
      </c>
      <c r="F1" s="1" t="s">
        <v>201</v>
      </c>
      <c r="G1" s="1" t="s">
        <v>202</v>
      </c>
      <c r="H1" s="1" t="s">
        <v>203</v>
      </c>
      <c r="I1" s="1" t="s">
        <v>204</v>
      </c>
      <c r="J1" s="1" t="s">
        <v>205</v>
      </c>
      <c r="K1" s="1" t="s">
        <v>206</v>
      </c>
    </row>
    <row r="2" spans="1:11">
      <c r="A2" t="str">
        <f>CONCATENATE(FORM!C2,"/",FORM!E2,"/",FORM!G2)</f>
        <v>18/3/2025</v>
      </c>
      <c r="B2" t="str">
        <f>FORM!C5</f>
        <v>tat</v>
      </c>
      <c r="C2" t="str">
        <f>FORM!J5</f>
        <v>MR</v>
      </c>
      <c r="D2" t="str">
        <f>CONCATENATE(FORM!C8,"/",FORM!E8,"/",FORM!G8)</f>
        <v>08/08/1970</v>
      </c>
      <c r="E2">
        <f>FORM!C9</f>
        <v>55</v>
      </c>
      <c r="F2">
        <f>FORM!C7</f>
        <v>0</v>
      </c>
      <c r="G2" s="2">
        <f>FORM!C10</f>
        <v>0</v>
      </c>
      <c r="H2" t="str">
        <f>FORM!C6</f>
        <v>Passive Retirement Income (20%)</v>
      </c>
      <c r="I2" s="2">
        <f>FORM!C13</f>
        <v>6000</v>
      </c>
      <c r="J2" s="2">
        <f>FORM!C18</f>
        <v>1000000</v>
      </c>
      <c r="K2" s="2">
        <f>FORM!C19</f>
        <v>0</v>
      </c>
    </row>
  </sheetData>
  <pageMargins left="0.7" right="0.7" top="0.75" bottom="0.75" header="0.3" footer="0.3"/>
  <headerFooter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allowEditUser xmlns="https://web.wps.cn/et/2018/main" xmlns:s="http://schemas.openxmlformats.org/spreadsheetml/2006/main" hasInvisiblePropRange="0">
  <rangeList sheetStid="1" master="" otherUserPermission="visible">
    <arrUserId title="Investment period" rangeCreator="" othersAccessPermission="edit"/>
    <arrUserId title="PERSONAL DETAILS" rangeCreator="" othersAccessPermission="edit"/>
    <arrUserId title="Project Date" rangeCreator="" othersAccessPermission="edit"/>
    <arrUserId title="Objective and Period" rangeCreator="" othersAccessPermission="edit"/>
    <arrUserId title="Range4" rangeCreator="" othersAccessPermission="edit"/>
  </rangeList>
  <rangeList sheetStid="2" master="" otherUserPermission="visible"/>
  <rangeList sheetStid="3" master="" otherUserPermission="visible">
    <arrUserId title="ANNUAL RATE" rangeCreator="" othersAccessPermission="edit"/>
  </rangeList>
  <rangeList sheetStid="4" master="" otherUserPermission="visible">
    <arrUserId title="Range3" rangeCreator="" othersAccessPermission="edit"/>
    <arrUserId title="Range2" rangeCreator="" othersAccessPermission="edit"/>
    <arrUserId title="CASH FLOW IN OUT" rangeCreator="" othersAccessPermission="edit"/>
  </rangeList>
  <rangeList sheetStid="5" master="" otherUserPermission="visible"/>
</allowEditUser>
</file>

<file path=customXml/itemProps1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Kingsoft Office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FORM</vt:lpstr>
      <vt:lpstr>LEGEND</vt:lpstr>
      <vt:lpstr>PFR (LINKED)</vt:lpstr>
      <vt:lpstr>DISPOSAL OF INVESTED</vt:lpstr>
      <vt:lpstr>DATA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Kelvin Chew</dc:creator>
  <cp:lastModifiedBy>Gladys Ngiaw</cp:lastModifiedBy>
  <dcterms:created xsi:type="dcterms:W3CDTF">2021-11-25T19:53:00Z</dcterms:created>
  <dcterms:modified xsi:type="dcterms:W3CDTF">2025-03-18T11:16:00Z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7A0D2D1C0B3F4FC1BBAFDA4159F6C59A_13</vt:lpwstr>
  </property>
  <property fmtid="{D5CDD505-2E9C-101B-9397-08002B2CF9AE}" pid="3" name="KSOProductBuildVer">
    <vt:lpwstr>1033-12.2.0.19805</vt:lpwstr>
  </property>
</Properties>
</file>